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R5\大会\02 総体2次\"/>
    </mc:Choice>
  </mc:AlternateContent>
  <xr:revisionPtr revIDLastSave="0" documentId="13_ncr:1_{CD1B576F-FD48-459A-B610-15A36435FADE}" xr6:coauthVersionLast="47" xr6:coauthVersionMax="47" xr10:uidLastSave="{00000000-0000-0000-0000-000000000000}"/>
  <bookViews>
    <workbookView xWindow="-110" yWindow="-110" windowWidth="19420" windowHeight="10420" tabRatio="813" xr2:uid="{00000000-000D-0000-FFFF-FFFF00000000}"/>
    <workbookView visibility="hidden" xWindow="0" yWindow="600" windowWidth="19200" windowHeight="10200" firstSheet="5" activeTab="17" xr2:uid="{00000000-000D-0000-FFFF-FFFF02000000}"/>
  </bookViews>
  <sheets>
    <sheet name="ﾌﾟﾛｸﾞﾗﾑ表紙" sheetId="1" r:id="rId1"/>
    <sheet name="競漕日程" sheetId="6" r:id="rId2"/>
    <sheet name="得点表" sheetId="21" r:id="rId3"/>
    <sheet name="総合成績" sheetId="23" r:id="rId4"/>
    <sheet name="優勝校一覧" sheetId="22" r:id="rId5"/>
    <sheet name="出漕クルー一覧" sheetId="4" r:id="rId6"/>
    <sheet name="少年組合せ" sheetId="29" r:id="rId7"/>
    <sheet name="競漕成績" sheetId="12" r:id="rId8"/>
    <sheet name="選手名簿" sheetId="13" r:id="rId9"/>
    <sheet name="１×Ｍ" sheetId="18" r:id="rId10"/>
    <sheet name="１×Ｗ" sheetId="20" r:id="rId11"/>
    <sheet name="２×Ｍ" sheetId="19" r:id="rId12"/>
    <sheet name="２×Ｗ" sheetId="17" r:id="rId13"/>
    <sheet name="４×＋Ｍ" sheetId="16" r:id="rId14"/>
    <sheet name="４×＋Ｗ" sheetId="15" r:id="rId15"/>
    <sheet name="佐鳴湖航行ルール（練習時）" sheetId="31" r:id="rId16"/>
    <sheet name="佐鳴湖航行ルール（レース時）" sheetId="32" r:id="rId17"/>
    <sheet name="審判長注意" sheetId="11" r:id="rId18"/>
    <sheet name="変更届" sheetId="30" r:id="rId19"/>
  </sheets>
  <externalReferences>
    <externalReference r:id="rId20"/>
  </externalReferences>
  <definedNames>
    <definedName name="_xlnm.Print_Area" localSheetId="9">'１×Ｍ'!$A$1:$J$43</definedName>
    <definedName name="_xlnm.Print_Area" localSheetId="10">'１×Ｗ'!$A$1:$J$27</definedName>
    <definedName name="_xlnm.Print_Area" localSheetId="11">'２×Ｍ'!$A$1:$K$68</definedName>
    <definedName name="_xlnm.Print_Area" localSheetId="12">'２×Ｗ'!$A$1:$K$28</definedName>
    <definedName name="_xlnm.Print_Area" localSheetId="13">'４×＋Ｍ'!$A$1:$K$114</definedName>
    <definedName name="_xlnm.Print_Area" localSheetId="14">'４×＋Ｗ'!$A$1:$K$37</definedName>
    <definedName name="_xlnm.Print_Area" localSheetId="0">ﾌﾟﾛｸﾞﾗﾑ表紙!$A$1:$I$31</definedName>
    <definedName name="_xlnm.Print_Area" localSheetId="7">競漕成績!$A$1:$H$300</definedName>
    <definedName name="_xlnm.Print_Area" localSheetId="1">競漕日程!$A$1:$G$51</definedName>
    <definedName name="_xlnm.Print_Area" localSheetId="5">出漕クルー一覧!#REF!</definedName>
    <definedName name="_xlnm.Print_Area" localSheetId="6">少年組合せ!$B$1:$R$381</definedName>
    <definedName name="_xlnm.Print_Area" localSheetId="8">選手名簿!$A$1:$M$403</definedName>
    <definedName name="_xlnm.Print_Area" localSheetId="2">得点表!$A$4:$K$40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4" i="29" l="1"/>
  <c r="F159" i="29" s="1"/>
  <c r="F35" i="29"/>
  <c r="F50" i="29" s="1"/>
  <c r="F65" i="29" s="1"/>
  <c r="F80" i="29" s="1"/>
  <c r="F95" i="29" s="1"/>
  <c r="F20" i="29"/>
  <c r="R370" i="29"/>
  <c r="R321" i="29"/>
  <c r="R273" i="29"/>
  <c r="R130" i="29"/>
  <c r="R179" i="29"/>
  <c r="N81" i="29"/>
  <c r="N66" i="29"/>
  <c r="R6" i="29"/>
  <c r="B205" i="29"/>
  <c r="B190" i="29"/>
  <c r="C17" i="29"/>
  <c r="B17" i="29"/>
  <c r="C15" i="29"/>
  <c r="B15" i="29"/>
  <c r="C13" i="29"/>
  <c r="B13" i="29"/>
  <c r="C11" i="29"/>
  <c r="B11" i="29"/>
  <c r="C9" i="29"/>
  <c r="B9" i="29"/>
  <c r="C7" i="29"/>
  <c r="B7" i="29"/>
  <c r="C32" i="29"/>
  <c r="B32" i="29"/>
  <c r="C30" i="29"/>
  <c r="B30" i="29"/>
  <c r="C28" i="29"/>
  <c r="B28" i="29"/>
  <c r="C26" i="29"/>
  <c r="B26" i="29"/>
  <c r="C24" i="29"/>
  <c r="B24" i="29"/>
  <c r="C22" i="29"/>
  <c r="B22" i="29"/>
  <c r="C47" i="29"/>
  <c r="B47" i="29"/>
  <c r="C45" i="29"/>
  <c r="B45" i="29"/>
  <c r="C43" i="29"/>
  <c r="B43" i="29"/>
  <c r="C41" i="29"/>
  <c r="B41" i="29"/>
  <c r="C39" i="29"/>
  <c r="B39" i="29"/>
  <c r="C37" i="29"/>
  <c r="B37" i="29"/>
  <c r="C107" i="29"/>
  <c r="B107" i="29"/>
  <c r="C105" i="29"/>
  <c r="B105" i="29"/>
  <c r="C103" i="29"/>
  <c r="B103" i="29"/>
  <c r="C101" i="29"/>
  <c r="B101" i="29"/>
  <c r="C99" i="29"/>
  <c r="B99" i="29"/>
  <c r="C97" i="29"/>
  <c r="B97" i="29"/>
  <c r="C92" i="29"/>
  <c r="B92" i="29"/>
  <c r="C90" i="29"/>
  <c r="B90" i="29"/>
  <c r="C88" i="29"/>
  <c r="B88" i="29"/>
  <c r="C86" i="29"/>
  <c r="B86" i="29"/>
  <c r="C84" i="29"/>
  <c r="B84" i="29"/>
  <c r="C82" i="29"/>
  <c r="B82" i="29"/>
  <c r="C77" i="29"/>
  <c r="B77" i="29"/>
  <c r="C75" i="29"/>
  <c r="B75" i="29"/>
  <c r="C73" i="29"/>
  <c r="B73" i="29"/>
  <c r="C71" i="29"/>
  <c r="B71" i="29"/>
  <c r="C69" i="29"/>
  <c r="B69" i="29"/>
  <c r="C67" i="29"/>
  <c r="B67" i="29"/>
  <c r="C52" i="29"/>
  <c r="B52" i="29"/>
  <c r="C62" i="29"/>
  <c r="B62" i="29"/>
  <c r="C60" i="29"/>
  <c r="B60" i="29"/>
  <c r="C58" i="29"/>
  <c r="B58" i="29"/>
  <c r="C56" i="29"/>
  <c r="B56" i="29"/>
  <c r="C54" i="29"/>
  <c r="B54" i="29"/>
  <c r="N145" i="29" l="1"/>
  <c r="N130" i="29"/>
  <c r="D87" i="13"/>
  <c r="C87" i="13"/>
  <c r="B87" i="13"/>
  <c r="E85" i="13"/>
  <c r="B85" i="13"/>
  <c r="C85" i="13" s="1"/>
  <c r="K87" i="13"/>
  <c r="J87" i="13"/>
  <c r="I87" i="13"/>
  <c r="L85" i="13"/>
  <c r="I85" i="13"/>
  <c r="F85" i="13"/>
  <c r="J85" i="13"/>
  <c r="K83" i="13"/>
  <c r="J83" i="13"/>
  <c r="I83" i="13"/>
  <c r="L81" i="13"/>
  <c r="I81" i="13"/>
  <c r="D83" i="13"/>
  <c r="C83" i="13"/>
  <c r="B83" i="13"/>
  <c r="E81" i="13"/>
  <c r="B81" i="13"/>
  <c r="F81" i="13" s="1"/>
  <c r="K79" i="13"/>
  <c r="J79" i="13"/>
  <c r="I79" i="13"/>
  <c r="L77" i="13"/>
  <c r="I77" i="13"/>
  <c r="D79" i="13"/>
  <c r="C79" i="13"/>
  <c r="B79" i="13"/>
  <c r="E77" i="13"/>
  <c r="B77" i="13"/>
  <c r="M77" i="13" s="1"/>
  <c r="K75" i="13"/>
  <c r="J75" i="13"/>
  <c r="I75" i="13"/>
  <c r="L73" i="13"/>
  <c r="I73" i="13"/>
  <c r="D75" i="13"/>
  <c r="C75" i="13"/>
  <c r="E73" i="13"/>
  <c r="B73" i="13"/>
  <c r="C73" i="13" s="1"/>
  <c r="B75" i="13"/>
  <c r="F208" i="29"/>
  <c r="J194" i="29"/>
  <c r="F194" i="29"/>
  <c r="J179" i="29"/>
  <c r="F179" i="29"/>
  <c r="N51" i="29"/>
  <c r="N36" i="29"/>
  <c r="G85" i="22"/>
  <c r="G86" i="22"/>
  <c r="G87" i="22"/>
  <c r="G88" i="22"/>
  <c r="G89" i="22"/>
  <c r="G90" i="22"/>
  <c r="G91" i="22"/>
  <c r="G92" i="22"/>
  <c r="G84" i="22"/>
  <c r="B84" i="22"/>
  <c r="C84" i="22"/>
  <c r="F88" i="22"/>
  <c r="E85" i="22"/>
  <c r="F85" i="22"/>
  <c r="E86" i="22"/>
  <c r="F86" i="22"/>
  <c r="E87" i="22"/>
  <c r="F87" i="22"/>
  <c r="E88" i="22"/>
  <c r="E89" i="22"/>
  <c r="F89" i="22"/>
  <c r="E90" i="22"/>
  <c r="F90" i="22"/>
  <c r="E91" i="22"/>
  <c r="F91" i="22"/>
  <c r="E92" i="22"/>
  <c r="F92" i="22"/>
  <c r="B85" i="22"/>
  <c r="C85" i="22"/>
  <c r="D85" i="22"/>
  <c r="B86" i="22"/>
  <c r="C86" i="22"/>
  <c r="D86" i="22"/>
  <c r="B87" i="22"/>
  <c r="C87" i="22"/>
  <c r="D87" i="22"/>
  <c r="B88" i="22"/>
  <c r="C88" i="22"/>
  <c r="D88" i="22"/>
  <c r="B89" i="22"/>
  <c r="C89" i="22"/>
  <c r="D89" i="22"/>
  <c r="B90" i="22"/>
  <c r="C90" i="22"/>
  <c r="D90" i="22"/>
  <c r="B91" i="22"/>
  <c r="C91" i="22"/>
  <c r="D91" i="22"/>
  <c r="B92" i="22"/>
  <c r="C92" i="22"/>
  <c r="D92" i="22"/>
  <c r="F84" i="22"/>
  <c r="E84" i="22"/>
  <c r="D84" i="22"/>
  <c r="M85" i="13" l="1"/>
  <c r="M81" i="13"/>
  <c r="C81" i="13"/>
  <c r="J81" i="13"/>
  <c r="F73" i="13"/>
  <c r="J73" i="13"/>
  <c r="M73" i="13"/>
  <c r="C77" i="13"/>
  <c r="J77" i="13"/>
  <c r="F77" i="13"/>
  <c r="E13" i="21"/>
  <c r="E14" i="21"/>
  <c r="E15" i="21"/>
  <c r="E16" i="21"/>
  <c r="E17" i="21"/>
  <c r="E18" i="21"/>
  <c r="E19" i="21"/>
  <c r="E20" i="21"/>
  <c r="E21" i="21"/>
  <c r="E22" i="21"/>
  <c r="J13" i="21"/>
  <c r="J14" i="21"/>
  <c r="J15" i="21"/>
  <c r="J16" i="21"/>
  <c r="J17" i="21"/>
  <c r="J18" i="21"/>
  <c r="J19" i="21"/>
  <c r="J20" i="21"/>
  <c r="J21" i="21"/>
  <c r="J22" i="21"/>
  <c r="F13" i="21" l="1"/>
  <c r="F20" i="21"/>
  <c r="F16" i="21"/>
  <c r="K19" i="21"/>
  <c r="K14" i="21"/>
  <c r="K18" i="21"/>
  <c r="K15" i="21"/>
  <c r="F22" i="21"/>
  <c r="K22" i="21"/>
  <c r="F21" i="21"/>
  <c r="K17" i="21"/>
  <c r="F17" i="21"/>
  <c r="K13" i="21"/>
  <c r="F15" i="21"/>
  <c r="F19" i="21"/>
  <c r="K21" i="21"/>
  <c r="F14" i="21"/>
  <c r="F18" i="21"/>
  <c r="K20" i="21"/>
  <c r="K16" i="21"/>
  <c r="C169" i="29" l="1"/>
  <c r="B169" i="29"/>
  <c r="C167" i="29"/>
  <c r="B167" i="29"/>
  <c r="C165" i="29"/>
  <c r="B165" i="29"/>
  <c r="C163" i="29"/>
  <c r="B163" i="29"/>
  <c r="C161" i="29"/>
  <c r="B161" i="29"/>
  <c r="C154" i="29"/>
  <c r="B154" i="29"/>
  <c r="C152" i="29"/>
  <c r="B152" i="29"/>
  <c r="C150" i="29"/>
  <c r="B150" i="29"/>
  <c r="C148" i="29"/>
  <c r="B148" i="29"/>
  <c r="C146" i="29"/>
  <c r="B146" i="29"/>
  <c r="C139" i="29"/>
  <c r="B139" i="29"/>
  <c r="C137" i="29"/>
  <c r="B137" i="29"/>
  <c r="C135" i="29"/>
  <c r="B135" i="29"/>
  <c r="C133" i="29"/>
  <c r="B133" i="29"/>
  <c r="C131" i="29"/>
  <c r="B131" i="29"/>
  <c r="C122" i="29"/>
  <c r="C120" i="29"/>
  <c r="C118" i="29"/>
  <c r="C116" i="29"/>
  <c r="C114" i="29"/>
  <c r="C112" i="29"/>
  <c r="B120" i="29"/>
  <c r="B118" i="29"/>
  <c r="B116" i="29"/>
  <c r="B114" i="29"/>
  <c r="B112" i="29"/>
  <c r="B322" i="29"/>
  <c r="J66" i="29" l="1"/>
  <c r="B122" i="29"/>
  <c r="B394" i="29"/>
  <c r="B392" i="29"/>
  <c r="B390" i="29"/>
  <c r="B388" i="29"/>
  <c r="B386" i="29"/>
  <c r="B384" i="29"/>
  <c r="B379" i="29"/>
  <c r="B377" i="29"/>
  <c r="B375" i="29"/>
  <c r="B373" i="29"/>
  <c r="B371" i="29"/>
  <c r="R339" i="29"/>
  <c r="F370" i="29"/>
  <c r="B362" i="29"/>
  <c r="B360" i="29"/>
  <c r="B358" i="29"/>
  <c r="B356" i="29"/>
  <c r="B354" i="29"/>
  <c r="B352" i="29"/>
  <c r="B345" i="29"/>
  <c r="B343" i="29"/>
  <c r="B341" i="29"/>
  <c r="B339" i="29"/>
  <c r="B337" i="29"/>
  <c r="F336" i="29"/>
  <c r="B332" i="29"/>
  <c r="B330" i="29"/>
  <c r="B328" i="29"/>
  <c r="B326" i="29"/>
  <c r="B324" i="29"/>
  <c r="R290" i="29"/>
  <c r="F321" i="29"/>
  <c r="B314" i="29"/>
  <c r="B312" i="29"/>
  <c r="B310" i="29"/>
  <c r="B308" i="29"/>
  <c r="B306" i="29"/>
  <c r="B304" i="29"/>
  <c r="B299" i="29"/>
  <c r="B297" i="29"/>
  <c r="B295" i="29"/>
  <c r="B293" i="29"/>
  <c r="B291" i="29"/>
  <c r="B289" i="29"/>
  <c r="B282" i="29"/>
  <c r="B280" i="29"/>
  <c r="B278" i="29"/>
  <c r="B276" i="29"/>
  <c r="R242" i="29"/>
  <c r="F273" i="29"/>
  <c r="B265" i="29"/>
  <c r="B263" i="29"/>
  <c r="B261" i="29"/>
  <c r="B259" i="29"/>
  <c r="B257" i="29"/>
  <c r="B255" i="29"/>
  <c r="B250" i="29"/>
  <c r="B248" i="29"/>
  <c r="B246" i="29"/>
  <c r="B244" i="29"/>
  <c r="B242" i="29"/>
  <c r="B240" i="29"/>
  <c r="B235" i="29"/>
  <c r="B233" i="29"/>
  <c r="B231" i="29"/>
  <c r="B229" i="29"/>
  <c r="B227" i="29"/>
  <c r="B225" i="29"/>
  <c r="B220" i="29"/>
  <c r="B218" i="29"/>
  <c r="B216" i="29"/>
  <c r="B214" i="29"/>
  <c r="B212" i="29"/>
  <c r="B210" i="29"/>
  <c r="B203" i="29"/>
  <c r="B201" i="29"/>
  <c r="B199" i="29"/>
  <c r="B197" i="29"/>
  <c r="B195" i="29"/>
  <c r="B188" i="29"/>
  <c r="B186" i="29"/>
  <c r="B184" i="29"/>
  <c r="B182" i="29"/>
  <c r="B180" i="29"/>
  <c r="F160" i="29"/>
  <c r="J145" i="29"/>
  <c r="F145" i="29"/>
  <c r="J130" i="29"/>
  <c r="F130" i="29"/>
  <c r="F81" i="29"/>
  <c r="F66" i="29"/>
  <c r="J51" i="29"/>
  <c r="F51" i="29"/>
  <c r="J36" i="29"/>
  <c r="F36" i="29"/>
  <c r="N21" i="29"/>
  <c r="J21" i="29"/>
  <c r="F21" i="29"/>
  <c r="N6" i="29"/>
  <c r="J6" i="29"/>
  <c r="F6" i="29"/>
  <c r="C101" i="12" l="1"/>
  <c r="C89" i="12"/>
  <c r="C84" i="12"/>
  <c r="D11" i="12"/>
  <c r="C11" i="12"/>
  <c r="D10" i="12"/>
  <c r="C10" i="12"/>
  <c r="C9" i="12"/>
  <c r="D9" i="12"/>
  <c r="D8" i="12"/>
  <c r="C8" i="12"/>
  <c r="D7" i="12"/>
  <c r="C7" i="12"/>
  <c r="C15" i="12"/>
  <c r="C91" i="12"/>
  <c r="C105" i="12"/>
  <c r="C104" i="12"/>
  <c r="C103" i="12"/>
  <c r="C102" i="12"/>
  <c r="C99" i="12"/>
  <c r="C98" i="12"/>
  <c r="C106" i="12"/>
  <c r="C100" i="12"/>
  <c r="D32" i="12"/>
  <c r="C32" i="12"/>
  <c r="D33" i="12"/>
  <c r="C33" i="12"/>
  <c r="B362" i="13"/>
  <c r="C362" i="13"/>
  <c r="D362" i="13"/>
  <c r="D361" i="13"/>
  <c r="C361" i="13"/>
  <c r="B361" i="13"/>
  <c r="C360" i="13"/>
  <c r="B360" i="13"/>
  <c r="D360" i="13"/>
  <c r="D359" i="13"/>
  <c r="C359" i="13"/>
  <c r="B359" i="13"/>
  <c r="D358" i="13"/>
  <c r="C358" i="13"/>
  <c r="B358" i="13"/>
  <c r="D357" i="13"/>
  <c r="C357" i="13"/>
  <c r="B357" i="13"/>
  <c r="D356" i="13"/>
  <c r="C356" i="13"/>
  <c r="B356" i="13"/>
  <c r="E354" i="13"/>
  <c r="B354" i="13"/>
  <c r="K362" i="13"/>
  <c r="J362" i="13"/>
  <c r="I362" i="13"/>
  <c r="K361" i="13"/>
  <c r="J361" i="13"/>
  <c r="I361" i="13"/>
  <c r="K360" i="13"/>
  <c r="J360" i="13"/>
  <c r="I360" i="13"/>
  <c r="K359" i="13"/>
  <c r="J359" i="13"/>
  <c r="I359" i="13"/>
  <c r="K358" i="13"/>
  <c r="J358" i="13"/>
  <c r="I358" i="13"/>
  <c r="K357" i="13"/>
  <c r="J357" i="13"/>
  <c r="I357" i="13"/>
  <c r="K356" i="13"/>
  <c r="J356" i="13"/>
  <c r="I356" i="13"/>
  <c r="L354" i="13"/>
  <c r="I354" i="13"/>
  <c r="K352" i="13"/>
  <c r="J352" i="13"/>
  <c r="I352" i="13"/>
  <c r="K351" i="13"/>
  <c r="J351" i="13"/>
  <c r="I351" i="13"/>
  <c r="K350" i="13"/>
  <c r="J350" i="13"/>
  <c r="I350" i="13"/>
  <c r="I349" i="13"/>
  <c r="J349" i="13"/>
  <c r="K349" i="13"/>
  <c r="K348" i="13"/>
  <c r="J348" i="13"/>
  <c r="I348" i="13"/>
  <c r="K347" i="13"/>
  <c r="J347" i="13"/>
  <c r="I347" i="13"/>
  <c r="K346" i="13"/>
  <c r="J346" i="13"/>
  <c r="I346" i="13"/>
  <c r="L344" i="13"/>
  <c r="I344" i="13"/>
  <c r="K71" i="13"/>
  <c r="J71" i="13"/>
  <c r="I71" i="13"/>
  <c r="L69" i="13"/>
  <c r="I69" i="13"/>
  <c r="D71" i="13"/>
  <c r="C71" i="13"/>
  <c r="B71" i="13"/>
  <c r="E69" i="13"/>
  <c r="B69" i="13"/>
  <c r="C69" i="13" s="1"/>
  <c r="K67" i="13"/>
  <c r="J67" i="13"/>
  <c r="I67" i="13"/>
  <c r="L65" i="13"/>
  <c r="I65" i="13"/>
  <c r="E65" i="13"/>
  <c r="D67" i="13"/>
  <c r="C67" i="13"/>
  <c r="B67" i="13"/>
  <c r="B65" i="13"/>
  <c r="C65" i="13" s="1"/>
  <c r="I61" i="13"/>
  <c r="K63" i="13"/>
  <c r="J63" i="13"/>
  <c r="I63" i="13"/>
  <c r="L61" i="13"/>
  <c r="D63" i="13"/>
  <c r="C63" i="13"/>
  <c r="B63" i="13"/>
  <c r="E61" i="13"/>
  <c r="B61" i="13"/>
  <c r="M61" i="13" s="1"/>
  <c r="K59" i="13"/>
  <c r="J59" i="13"/>
  <c r="I59" i="13"/>
  <c r="L57" i="13"/>
  <c r="I57" i="13"/>
  <c r="D59" i="13"/>
  <c r="C59" i="13"/>
  <c r="B59" i="13"/>
  <c r="E57" i="13"/>
  <c r="B57" i="13"/>
  <c r="C57" i="13" s="1"/>
  <c r="K55" i="13"/>
  <c r="J55" i="13"/>
  <c r="I55" i="13"/>
  <c r="L53" i="13"/>
  <c r="I53" i="13"/>
  <c r="D55" i="13"/>
  <c r="C55" i="13"/>
  <c r="B55" i="13"/>
  <c r="E53" i="13"/>
  <c r="B53" i="13"/>
  <c r="C53" i="13" s="1"/>
  <c r="K51" i="13"/>
  <c r="J51" i="13"/>
  <c r="I51" i="13"/>
  <c r="L49" i="13"/>
  <c r="I49" i="13"/>
  <c r="D51" i="13"/>
  <c r="C51" i="13"/>
  <c r="B51" i="13"/>
  <c r="E49" i="13"/>
  <c r="B49" i="13"/>
  <c r="J49" i="13" s="1"/>
  <c r="K47" i="13"/>
  <c r="J47" i="13"/>
  <c r="I47" i="13"/>
  <c r="L45" i="13"/>
  <c r="I45" i="13"/>
  <c r="D47" i="13"/>
  <c r="C47" i="13"/>
  <c r="B47" i="13"/>
  <c r="E45" i="13"/>
  <c r="B45" i="13"/>
  <c r="J45" i="13" s="1"/>
  <c r="K43" i="13"/>
  <c r="J43" i="13"/>
  <c r="I43" i="13"/>
  <c r="L41" i="13"/>
  <c r="I41" i="13"/>
  <c r="D43" i="13"/>
  <c r="C43" i="13"/>
  <c r="B43" i="13"/>
  <c r="E41" i="13"/>
  <c r="B41" i="13"/>
  <c r="M41" i="13" s="1"/>
  <c r="K39" i="13"/>
  <c r="J39" i="13"/>
  <c r="I39" i="13"/>
  <c r="L37" i="13"/>
  <c r="I37" i="13"/>
  <c r="D39" i="13"/>
  <c r="C39" i="13"/>
  <c r="B39" i="13"/>
  <c r="E37" i="13"/>
  <c r="B37" i="13"/>
  <c r="C37" i="13" s="1"/>
  <c r="K35" i="13"/>
  <c r="J35" i="13"/>
  <c r="I35" i="13"/>
  <c r="L33" i="13"/>
  <c r="I33" i="13"/>
  <c r="D35" i="13"/>
  <c r="C35" i="13"/>
  <c r="B35" i="13"/>
  <c r="E33" i="13"/>
  <c r="B33" i="13"/>
  <c r="M33" i="13" s="1"/>
  <c r="K31" i="13"/>
  <c r="J31" i="13"/>
  <c r="I31" i="13"/>
  <c r="L29" i="13"/>
  <c r="I29" i="13"/>
  <c r="D31" i="13"/>
  <c r="C31" i="13"/>
  <c r="B31" i="13"/>
  <c r="E29" i="13"/>
  <c r="B29" i="13"/>
  <c r="C29" i="13" s="1"/>
  <c r="K27" i="13"/>
  <c r="J27" i="13"/>
  <c r="I27" i="13"/>
  <c r="L25" i="13"/>
  <c r="I25" i="13"/>
  <c r="D27" i="13"/>
  <c r="C27" i="13"/>
  <c r="B27" i="13"/>
  <c r="E25" i="13"/>
  <c r="B25" i="13"/>
  <c r="F25" i="13" s="1"/>
  <c r="K23" i="13"/>
  <c r="J23" i="13"/>
  <c r="I23" i="13"/>
  <c r="L21" i="13"/>
  <c r="I21" i="13"/>
  <c r="D23" i="13"/>
  <c r="C23" i="13"/>
  <c r="B23" i="13"/>
  <c r="E21" i="13"/>
  <c r="B21" i="13"/>
  <c r="J21" i="13" s="1"/>
  <c r="C107" i="12"/>
  <c r="C97" i="12"/>
  <c r="C95" i="12"/>
  <c r="C94" i="12"/>
  <c r="C93" i="12"/>
  <c r="C92" i="12"/>
  <c r="C88" i="12"/>
  <c r="C87" i="12"/>
  <c r="C86" i="12"/>
  <c r="C85" i="12"/>
  <c r="D83" i="12"/>
  <c r="D82" i="12"/>
  <c r="D81" i="12"/>
  <c r="D80" i="12"/>
  <c r="D79" i="12"/>
  <c r="D78" i="12"/>
  <c r="C83" i="12"/>
  <c r="C82" i="12"/>
  <c r="C81" i="12"/>
  <c r="C80" i="12"/>
  <c r="C79" i="12"/>
  <c r="C78" i="12"/>
  <c r="D77" i="12"/>
  <c r="D76" i="12"/>
  <c r="D75" i="12"/>
  <c r="D74" i="12"/>
  <c r="D73" i="12"/>
  <c r="D72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59" i="12"/>
  <c r="C58" i="12"/>
  <c r="C57" i="12"/>
  <c r="C56" i="12"/>
  <c r="C55" i="12"/>
  <c r="C54" i="12"/>
  <c r="C48" i="12"/>
  <c r="C49" i="12"/>
  <c r="C53" i="12"/>
  <c r="C52" i="12"/>
  <c r="C51" i="12"/>
  <c r="C50" i="12"/>
  <c r="C47" i="12"/>
  <c r="C46" i="12"/>
  <c r="C45" i="12"/>
  <c r="C44" i="12"/>
  <c r="C43" i="12"/>
  <c r="D41" i="12"/>
  <c r="D40" i="12"/>
  <c r="D39" i="12"/>
  <c r="D38" i="12"/>
  <c r="D37" i="12"/>
  <c r="D36" i="12"/>
  <c r="C41" i="12"/>
  <c r="C40" i="12"/>
  <c r="C39" i="12"/>
  <c r="C38" i="12"/>
  <c r="C37" i="12"/>
  <c r="C36" i="12"/>
  <c r="D35" i="12"/>
  <c r="D34" i="12"/>
  <c r="D31" i="12"/>
  <c r="D30" i="12"/>
  <c r="C35" i="12"/>
  <c r="C34" i="12"/>
  <c r="C31" i="12"/>
  <c r="C30" i="12"/>
  <c r="D29" i="12"/>
  <c r="D28" i="12"/>
  <c r="D27" i="12"/>
  <c r="D26" i="12"/>
  <c r="D25" i="12"/>
  <c r="D24" i="12"/>
  <c r="C29" i="12"/>
  <c r="C28" i="12"/>
  <c r="C27" i="12"/>
  <c r="C26" i="12"/>
  <c r="C25" i="12"/>
  <c r="C24" i="12"/>
  <c r="D23" i="12"/>
  <c r="D22" i="12"/>
  <c r="D21" i="12"/>
  <c r="D20" i="12"/>
  <c r="D19" i="12"/>
  <c r="C23" i="12"/>
  <c r="C22" i="12"/>
  <c r="C21" i="12"/>
  <c r="C20" i="12"/>
  <c r="C19" i="12"/>
  <c r="D17" i="12"/>
  <c r="D16" i="12"/>
  <c r="D15" i="12"/>
  <c r="D14" i="12"/>
  <c r="D13" i="12"/>
  <c r="C17" i="12"/>
  <c r="C16" i="12"/>
  <c r="C14" i="12"/>
  <c r="C13" i="12"/>
  <c r="D16" i="4"/>
  <c r="G16" i="4"/>
  <c r="F16" i="4"/>
  <c r="E16" i="4"/>
  <c r="C16" i="4"/>
  <c r="B16" i="4"/>
  <c r="D413" i="13"/>
  <c r="D412" i="13"/>
  <c r="D411" i="13"/>
  <c r="D410" i="13"/>
  <c r="D409" i="13"/>
  <c r="D408" i="13"/>
  <c r="C413" i="13"/>
  <c r="C412" i="13"/>
  <c r="C411" i="13"/>
  <c r="C410" i="13"/>
  <c r="C409" i="13"/>
  <c r="C408" i="13"/>
  <c r="B413" i="13"/>
  <c r="B412" i="13"/>
  <c r="B411" i="13"/>
  <c r="B410" i="13"/>
  <c r="B409" i="13"/>
  <c r="B408" i="13"/>
  <c r="B407" i="13"/>
  <c r="D407" i="13"/>
  <c r="C407" i="13"/>
  <c r="E405" i="13"/>
  <c r="B405" i="13"/>
  <c r="J325" i="12"/>
  <c r="J326" i="12"/>
  <c r="J327" i="12"/>
  <c r="J328" i="12"/>
  <c r="J329" i="12"/>
  <c r="J330" i="12"/>
  <c r="J331" i="12"/>
  <c r="J332" i="12"/>
  <c r="J333" i="12"/>
  <c r="J334" i="12"/>
  <c r="J335" i="12"/>
  <c r="J336" i="12"/>
  <c r="J337" i="12"/>
  <c r="J338" i="12"/>
  <c r="J339" i="12"/>
  <c r="J340" i="12"/>
  <c r="J341" i="12"/>
  <c r="J342" i="12"/>
  <c r="J343" i="12"/>
  <c r="J344" i="12"/>
  <c r="J345" i="12"/>
  <c r="J346" i="12"/>
  <c r="J347" i="12"/>
  <c r="J348" i="12"/>
  <c r="J349" i="12"/>
  <c r="J350" i="12"/>
  <c r="J351" i="12"/>
  <c r="J374" i="12"/>
  <c r="J375" i="12"/>
  <c r="J376" i="12"/>
  <c r="J377" i="12"/>
  <c r="J378" i="12"/>
  <c r="J379" i="12"/>
  <c r="J380" i="12"/>
  <c r="J381" i="12"/>
  <c r="J382" i="12"/>
  <c r="D281" i="13"/>
  <c r="C281" i="13"/>
  <c r="B281" i="13"/>
  <c r="B280" i="13"/>
  <c r="C280" i="13"/>
  <c r="D280" i="13"/>
  <c r="D279" i="13"/>
  <c r="C279" i="13"/>
  <c r="B279" i="13"/>
  <c r="E277" i="13"/>
  <c r="B277" i="13"/>
  <c r="K275" i="13"/>
  <c r="J275" i="13"/>
  <c r="I275" i="13"/>
  <c r="K274" i="13"/>
  <c r="J274" i="13"/>
  <c r="I274" i="13"/>
  <c r="K273" i="13"/>
  <c r="J273" i="13"/>
  <c r="I273" i="13"/>
  <c r="L271" i="13"/>
  <c r="I271" i="13"/>
  <c r="D275" i="13"/>
  <c r="C275" i="13"/>
  <c r="B275" i="13"/>
  <c r="D274" i="13"/>
  <c r="C274" i="13"/>
  <c r="B274" i="13"/>
  <c r="D273" i="13"/>
  <c r="C273" i="13"/>
  <c r="B273" i="13"/>
  <c r="E271" i="13"/>
  <c r="B271" i="13"/>
  <c r="K281" i="13"/>
  <c r="J281" i="13"/>
  <c r="I281" i="13"/>
  <c r="K280" i="13"/>
  <c r="J280" i="13"/>
  <c r="I280" i="13"/>
  <c r="K279" i="13"/>
  <c r="J279" i="13"/>
  <c r="I279" i="13"/>
  <c r="L277" i="13"/>
  <c r="I277" i="13"/>
  <c r="I195" i="13"/>
  <c r="K403" i="13"/>
  <c r="J403" i="13"/>
  <c r="I403" i="13"/>
  <c r="K402" i="13"/>
  <c r="J402" i="13"/>
  <c r="I402" i="13"/>
  <c r="K401" i="13"/>
  <c r="J401" i="13"/>
  <c r="I401" i="13"/>
  <c r="K400" i="13"/>
  <c r="J400" i="13"/>
  <c r="I400" i="13"/>
  <c r="K399" i="13"/>
  <c r="J399" i="13"/>
  <c r="I399" i="13"/>
  <c r="K398" i="13"/>
  <c r="J398" i="13"/>
  <c r="I398" i="13"/>
  <c r="K397" i="13"/>
  <c r="J397" i="13"/>
  <c r="I397" i="13"/>
  <c r="L395" i="13"/>
  <c r="I395" i="13"/>
  <c r="D403" i="13"/>
  <c r="C403" i="13"/>
  <c r="B403" i="13"/>
  <c r="D402" i="13"/>
  <c r="C402" i="13"/>
  <c r="B402" i="13"/>
  <c r="D401" i="13"/>
  <c r="C401" i="13"/>
  <c r="B401" i="13"/>
  <c r="D400" i="13"/>
  <c r="C400" i="13"/>
  <c r="B400" i="13"/>
  <c r="D399" i="13"/>
  <c r="C399" i="13"/>
  <c r="B399" i="13"/>
  <c r="D398" i="13"/>
  <c r="C398" i="13"/>
  <c r="B398" i="13"/>
  <c r="D397" i="13"/>
  <c r="C397" i="13"/>
  <c r="B397" i="13"/>
  <c r="E395" i="13"/>
  <c r="B395" i="13"/>
  <c r="K269" i="13"/>
  <c r="J269" i="13"/>
  <c r="I269" i="13"/>
  <c r="K268" i="13"/>
  <c r="J268" i="13"/>
  <c r="I268" i="13"/>
  <c r="K267" i="13"/>
  <c r="J267" i="13"/>
  <c r="I267" i="13"/>
  <c r="L265" i="13"/>
  <c r="D269" i="13"/>
  <c r="C269" i="13"/>
  <c r="B269" i="13"/>
  <c r="I265" i="13"/>
  <c r="D268" i="13"/>
  <c r="C268" i="13"/>
  <c r="B268" i="13"/>
  <c r="D267" i="13"/>
  <c r="C267" i="13"/>
  <c r="B267" i="13"/>
  <c r="E265" i="13"/>
  <c r="B265" i="13"/>
  <c r="K263" i="13"/>
  <c r="J263" i="13"/>
  <c r="I263" i="13"/>
  <c r="K262" i="13"/>
  <c r="J262" i="13"/>
  <c r="I262" i="13"/>
  <c r="K261" i="13"/>
  <c r="J261" i="13"/>
  <c r="I261" i="13"/>
  <c r="L259" i="13"/>
  <c r="I259" i="13"/>
  <c r="D263" i="13"/>
  <c r="C263" i="13"/>
  <c r="B263" i="13"/>
  <c r="D262" i="13"/>
  <c r="C262" i="13"/>
  <c r="B262" i="13"/>
  <c r="D261" i="13"/>
  <c r="C261" i="13"/>
  <c r="B261" i="13"/>
  <c r="E259" i="13"/>
  <c r="B259" i="13"/>
  <c r="K245" i="13"/>
  <c r="J245" i="13"/>
  <c r="I245" i="13"/>
  <c r="K239" i="13"/>
  <c r="J239" i="13"/>
  <c r="I239" i="13"/>
  <c r="D239" i="13"/>
  <c r="C239" i="13"/>
  <c r="B239" i="13"/>
  <c r="D230" i="13"/>
  <c r="C230" i="13"/>
  <c r="B230" i="13"/>
  <c r="D229" i="13"/>
  <c r="C229" i="13"/>
  <c r="B229" i="13"/>
  <c r="D228" i="13"/>
  <c r="C228" i="13"/>
  <c r="B228" i="13"/>
  <c r="E226" i="13"/>
  <c r="B226" i="13"/>
  <c r="K224" i="13"/>
  <c r="J224" i="13"/>
  <c r="I224" i="13"/>
  <c r="K223" i="13"/>
  <c r="J223" i="13"/>
  <c r="I223" i="13"/>
  <c r="K222" i="13"/>
  <c r="J222" i="13"/>
  <c r="I222" i="13"/>
  <c r="L220" i="13"/>
  <c r="I220" i="13"/>
  <c r="D224" i="13"/>
  <c r="C224" i="13"/>
  <c r="B224" i="13"/>
  <c r="D223" i="13"/>
  <c r="C223" i="13"/>
  <c r="B223" i="13"/>
  <c r="D222" i="13"/>
  <c r="C222" i="13"/>
  <c r="B222" i="13"/>
  <c r="E220" i="13"/>
  <c r="B220" i="13"/>
  <c r="K218" i="13"/>
  <c r="J218" i="13"/>
  <c r="I218" i="13"/>
  <c r="K217" i="13"/>
  <c r="J217" i="13"/>
  <c r="I217" i="13"/>
  <c r="K216" i="13"/>
  <c r="J216" i="13"/>
  <c r="I216" i="13"/>
  <c r="L214" i="13"/>
  <c r="I214" i="13"/>
  <c r="D218" i="13"/>
  <c r="C218" i="13"/>
  <c r="B218" i="13"/>
  <c r="D217" i="13"/>
  <c r="C217" i="13"/>
  <c r="B217" i="13"/>
  <c r="D216" i="13"/>
  <c r="C216" i="13"/>
  <c r="B216" i="13"/>
  <c r="E214" i="13"/>
  <c r="B214" i="13"/>
  <c r="K213" i="13"/>
  <c r="J213" i="13"/>
  <c r="I213" i="13"/>
  <c r="K212" i="13"/>
  <c r="J212" i="13"/>
  <c r="I212" i="13"/>
  <c r="K211" i="13"/>
  <c r="J211" i="13"/>
  <c r="I211" i="13"/>
  <c r="L209" i="13"/>
  <c r="I209" i="13"/>
  <c r="D213" i="13"/>
  <c r="C213" i="13"/>
  <c r="B213" i="13"/>
  <c r="D212" i="13"/>
  <c r="C212" i="13"/>
  <c r="B212" i="13"/>
  <c r="D211" i="13"/>
  <c r="C211" i="13"/>
  <c r="B211" i="13"/>
  <c r="E209" i="13"/>
  <c r="B209" i="13"/>
  <c r="K207" i="13"/>
  <c r="J207" i="13"/>
  <c r="I207" i="13"/>
  <c r="K206" i="13"/>
  <c r="J206" i="13"/>
  <c r="I206" i="13"/>
  <c r="K205" i="13"/>
  <c r="J205" i="13"/>
  <c r="I205" i="13"/>
  <c r="L203" i="13"/>
  <c r="I203" i="13"/>
  <c r="D207" i="13"/>
  <c r="C207" i="13"/>
  <c r="B207" i="13"/>
  <c r="D201" i="13"/>
  <c r="C201" i="13"/>
  <c r="B201" i="13"/>
  <c r="K189" i="13"/>
  <c r="J189" i="13"/>
  <c r="I189" i="13"/>
  <c r="D189" i="13"/>
  <c r="C189" i="13"/>
  <c r="B189" i="13"/>
  <c r="K183" i="13"/>
  <c r="J183" i="13"/>
  <c r="I183" i="13"/>
  <c r="D183" i="13"/>
  <c r="C183" i="13"/>
  <c r="B183" i="13"/>
  <c r="K177" i="13"/>
  <c r="J177" i="13"/>
  <c r="I177" i="13"/>
  <c r="D165" i="13"/>
  <c r="C165" i="13"/>
  <c r="B165" i="13"/>
  <c r="K147" i="13"/>
  <c r="I147" i="13"/>
  <c r="J147" i="13"/>
  <c r="D147" i="13"/>
  <c r="C147" i="13"/>
  <c r="B147" i="13"/>
  <c r="D153" i="13"/>
  <c r="C153" i="13"/>
  <c r="B153" i="13"/>
  <c r="D206" i="13"/>
  <c r="C206" i="13"/>
  <c r="B206" i="13"/>
  <c r="D205" i="13"/>
  <c r="C205" i="13"/>
  <c r="B205" i="13"/>
  <c r="E203" i="13"/>
  <c r="B203" i="13"/>
  <c r="K374" i="13"/>
  <c r="J374" i="13"/>
  <c r="I374" i="13"/>
  <c r="K313" i="13"/>
  <c r="J313" i="13"/>
  <c r="I313" i="13"/>
  <c r="K312" i="13"/>
  <c r="J312" i="13"/>
  <c r="I312" i="13"/>
  <c r="K133" i="13"/>
  <c r="J133" i="13"/>
  <c r="I133" i="13"/>
  <c r="L131" i="13"/>
  <c r="I131" i="13"/>
  <c r="D133" i="13"/>
  <c r="C133" i="13"/>
  <c r="B133" i="13"/>
  <c r="E131" i="13"/>
  <c r="B131" i="13"/>
  <c r="F131" i="13" s="1"/>
  <c r="K129" i="13"/>
  <c r="J129" i="13"/>
  <c r="I129" i="13"/>
  <c r="L127" i="13"/>
  <c r="I127" i="13"/>
  <c r="D129" i="13"/>
  <c r="C129" i="13"/>
  <c r="B129" i="13"/>
  <c r="E127" i="13"/>
  <c r="B127" i="13"/>
  <c r="J127" i="13" s="1"/>
  <c r="K125" i="13"/>
  <c r="J125" i="13"/>
  <c r="I125" i="13"/>
  <c r="L123" i="13"/>
  <c r="I123" i="13"/>
  <c r="D125" i="13"/>
  <c r="C125" i="13"/>
  <c r="B125" i="13"/>
  <c r="E123" i="13"/>
  <c r="B123" i="13"/>
  <c r="M123" i="13" s="1"/>
  <c r="D195" i="13"/>
  <c r="C195" i="13"/>
  <c r="B195" i="13"/>
  <c r="K121" i="13"/>
  <c r="J121" i="13"/>
  <c r="I121" i="13"/>
  <c r="L119" i="13"/>
  <c r="I119" i="13"/>
  <c r="B119" i="13"/>
  <c r="C119" i="13" s="1"/>
  <c r="B27" i="12"/>
  <c r="B26" i="12"/>
  <c r="B25" i="12"/>
  <c r="I386" i="13"/>
  <c r="K394" i="13"/>
  <c r="J394" i="13"/>
  <c r="I394" i="13"/>
  <c r="K393" i="13"/>
  <c r="J393" i="13"/>
  <c r="I393" i="13"/>
  <c r="K392" i="13"/>
  <c r="J392" i="13"/>
  <c r="I392" i="13"/>
  <c r="K391" i="13"/>
  <c r="J391" i="13"/>
  <c r="I391" i="13"/>
  <c r="K390" i="13"/>
  <c r="J390" i="13"/>
  <c r="I390" i="13"/>
  <c r="K389" i="13"/>
  <c r="J389" i="13"/>
  <c r="I389" i="13"/>
  <c r="K388" i="13"/>
  <c r="J388" i="13"/>
  <c r="I388" i="13"/>
  <c r="L386" i="13"/>
  <c r="D394" i="13"/>
  <c r="C394" i="13"/>
  <c r="D393" i="13"/>
  <c r="C393" i="13"/>
  <c r="D392" i="13"/>
  <c r="C392" i="13"/>
  <c r="D391" i="13"/>
  <c r="C391" i="13"/>
  <c r="D390" i="13"/>
  <c r="C390" i="13"/>
  <c r="D389" i="13"/>
  <c r="D388" i="13"/>
  <c r="C389" i="13"/>
  <c r="C388" i="13"/>
  <c r="B394" i="13"/>
  <c r="B393" i="13"/>
  <c r="B392" i="13"/>
  <c r="B391" i="13"/>
  <c r="B390" i="13"/>
  <c r="B389" i="13"/>
  <c r="B388" i="13"/>
  <c r="E386" i="13"/>
  <c r="B386" i="13"/>
  <c r="K141" i="13"/>
  <c r="J141" i="13"/>
  <c r="I141" i="13"/>
  <c r="D141" i="13"/>
  <c r="C141" i="13"/>
  <c r="C140" i="13"/>
  <c r="B141" i="13"/>
  <c r="K322" i="13"/>
  <c r="J322" i="13"/>
  <c r="I322" i="13"/>
  <c r="I139" i="13"/>
  <c r="I140" i="13"/>
  <c r="D320" i="13"/>
  <c r="D245" i="13"/>
  <c r="C245" i="13"/>
  <c r="B245" i="13"/>
  <c r="D159" i="13"/>
  <c r="C159" i="13"/>
  <c r="B159" i="13"/>
  <c r="K153" i="13"/>
  <c r="J153" i="13"/>
  <c r="I153" i="13"/>
  <c r="D352" i="13"/>
  <c r="C352" i="13"/>
  <c r="D351" i="13"/>
  <c r="C351" i="13"/>
  <c r="D350" i="13"/>
  <c r="C350" i="13"/>
  <c r="D349" i="13"/>
  <c r="C349" i="13"/>
  <c r="D348" i="13"/>
  <c r="C348" i="13"/>
  <c r="D347" i="13"/>
  <c r="C347" i="13"/>
  <c r="D346" i="13"/>
  <c r="C346" i="13"/>
  <c r="B352" i="13"/>
  <c r="B351" i="13"/>
  <c r="B350" i="13"/>
  <c r="B349" i="13"/>
  <c r="B348" i="13"/>
  <c r="B347" i="13"/>
  <c r="B346" i="13"/>
  <c r="E344" i="13"/>
  <c r="B344" i="13"/>
  <c r="K342" i="13"/>
  <c r="J342" i="13"/>
  <c r="K341" i="13"/>
  <c r="J341" i="13"/>
  <c r="K340" i="13"/>
  <c r="J340" i="13"/>
  <c r="K339" i="13"/>
  <c r="J339" i="13"/>
  <c r="K338" i="13"/>
  <c r="J338" i="13"/>
  <c r="K337" i="13"/>
  <c r="J337" i="13"/>
  <c r="K336" i="13"/>
  <c r="J336" i="13"/>
  <c r="I342" i="13"/>
  <c r="I341" i="13"/>
  <c r="I340" i="13"/>
  <c r="I339" i="13"/>
  <c r="I338" i="13"/>
  <c r="I337" i="13"/>
  <c r="I336" i="13"/>
  <c r="L334" i="13"/>
  <c r="I334" i="13"/>
  <c r="E334" i="13"/>
  <c r="B334" i="13"/>
  <c r="D342" i="13"/>
  <c r="D341" i="13"/>
  <c r="D340" i="13"/>
  <c r="D339" i="13"/>
  <c r="D338" i="13"/>
  <c r="D337" i="13"/>
  <c r="D336" i="13"/>
  <c r="C342" i="13"/>
  <c r="C341" i="13"/>
  <c r="C340" i="13"/>
  <c r="C339" i="13"/>
  <c r="C338" i="13"/>
  <c r="C337" i="13"/>
  <c r="C336" i="13"/>
  <c r="B342" i="13"/>
  <c r="B341" i="13"/>
  <c r="B340" i="13"/>
  <c r="B339" i="13"/>
  <c r="B338" i="13"/>
  <c r="B337" i="13"/>
  <c r="B336" i="13"/>
  <c r="K330" i="13"/>
  <c r="K329" i="13"/>
  <c r="K328" i="13"/>
  <c r="K327" i="13"/>
  <c r="K326" i="13"/>
  <c r="K331" i="13"/>
  <c r="K332" i="13"/>
  <c r="L324" i="13"/>
  <c r="I324" i="13"/>
  <c r="J332" i="13"/>
  <c r="J331" i="13"/>
  <c r="J330" i="13"/>
  <c r="J329" i="13"/>
  <c r="J328" i="13"/>
  <c r="J327" i="13"/>
  <c r="J326" i="13"/>
  <c r="I332" i="13"/>
  <c r="I331" i="13"/>
  <c r="I330" i="13"/>
  <c r="I329" i="13"/>
  <c r="I328" i="13"/>
  <c r="I327" i="13"/>
  <c r="I326" i="13"/>
  <c r="D257" i="13"/>
  <c r="C257" i="13"/>
  <c r="B257" i="13"/>
  <c r="K251" i="13"/>
  <c r="J251" i="13"/>
  <c r="I251" i="13"/>
  <c r="D177" i="13"/>
  <c r="C177" i="13"/>
  <c r="B177" i="13"/>
  <c r="D171" i="13"/>
  <c r="C171" i="13"/>
  <c r="B171" i="13"/>
  <c r="K165" i="13"/>
  <c r="J165" i="13"/>
  <c r="I165" i="13"/>
  <c r="D384" i="13"/>
  <c r="C384" i="13"/>
  <c r="B384" i="13"/>
  <c r="D332" i="13"/>
  <c r="C332" i="13"/>
  <c r="B332" i="13"/>
  <c r="D331" i="13"/>
  <c r="C331" i="13"/>
  <c r="B331" i="13"/>
  <c r="D330" i="13"/>
  <c r="C330" i="13"/>
  <c r="B330" i="13"/>
  <c r="D329" i="13"/>
  <c r="C329" i="13"/>
  <c r="B329" i="13"/>
  <c r="D313" i="13"/>
  <c r="B313" i="13"/>
  <c r="C313" i="13"/>
  <c r="D312" i="13"/>
  <c r="B312" i="13"/>
  <c r="C312" i="13"/>
  <c r="B311" i="13"/>
  <c r="K303" i="13"/>
  <c r="J303" i="13"/>
  <c r="I303" i="13"/>
  <c r="K302" i="13"/>
  <c r="J302" i="13"/>
  <c r="I302" i="13"/>
  <c r="D293" i="13"/>
  <c r="C293" i="13"/>
  <c r="B293" i="13"/>
  <c r="D292" i="13"/>
  <c r="C292" i="13"/>
  <c r="B292" i="13"/>
  <c r="D328" i="13"/>
  <c r="C328" i="13"/>
  <c r="B328" i="13"/>
  <c r="D327" i="13"/>
  <c r="C327" i="13"/>
  <c r="B327" i="13"/>
  <c r="D326" i="13"/>
  <c r="C326" i="13"/>
  <c r="B326" i="13"/>
  <c r="E324" i="13"/>
  <c r="B324" i="13"/>
  <c r="K321" i="13"/>
  <c r="J321" i="13"/>
  <c r="I321" i="13"/>
  <c r="K320" i="13"/>
  <c r="J320" i="13"/>
  <c r="I320" i="13"/>
  <c r="K319" i="13"/>
  <c r="J319" i="13"/>
  <c r="I319" i="13"/>
  <c r="K318" i="13"/>
  <c r="J318" i="13"/>
  <c r="I318" i="13"/>
  <c r="K317" i="13"/>
  <c r="J317" i="13"/>
  <c r="I317" i="13"/>
  <c r="K316" i="13"/>
  <c r="J316" i="13"/>
  <c r="I316" i="13"/>
  <c r="L314" i="13"/>
  <c r="I314" i="13"/>
  <c r="I305" i="13"/>
  <c r="I295" i="13"/>
  <c r="L305" i="13"/>
  <c r="K195" i="13"/>
  <c r="J195" i="13"/>
  <c r="K201" i="13"/>
  <c r="J201" i="13"/>
  <c r="I201" i="13"/>
  <c r="D322" i="13"/>
  <c r="C322" i="13"/>
  <c r="B322" i="13"/>
  <c r="B321" i="13"/>
  <c r="J373" i="13"/>
  <c r="C383" i="13"/>
  <c r="D321" i="13"/>
  <c r="C321" i="13"/>
  <c r="C320" i="13"/>
  <c r="K200" i="13"/>
  <c r="J200" i="13"/>
  <c r="I200" i="13"/>
  <c r="K199" i="13"/>
  <c r="J199" i="13"/>
  <c r="I199" i="13"/>
  <c r="L197" i="13"/>
  <c r="I197" i="13"/>
  <c r="D200" i="13"/>
  <c r="C200" i="13"/>
  <c r="B200" i="13"/>
  <c r="D199" i="13"/>
  <c r="C199" i="13"/>
  <c r="B199" i="13"/>
  <c r="E197" i="13"/>
  <c r="B197" i="13"/>
  <c r="K194" i="13"/>
  <c r="J194" i="13"/>
  <c r="I194" i="13"/>
  <c r="K193" i="13"/>
  <c r="J193" i="13"/>
  <c r="I193" i="13"/>
  <c r="L191" i="13"/>
  <c r="I191" i="13"/>
  <c r="D194" i="13"/>
  <c r="C194" i="13"/>
  <c r="B194" i="13"/>
  <c r="D193" i="13"/>
  <c r="C193" i="13"/>
  <c r="B193" i="13"/>
  <c r="E191" i="13"/>
  <c r="B191" i="13"/>
  <c r="K188" i="13"/>
  <c r="J188" i="13"/>
  <c r="I188" i="13"/>
  <c r="K187" i="13"/>
  <c r="J187" i="13"/>
  <c r="I187" i="13"/>
  <c r="L185" i="13"/>
  <c r="I185" i="13"/>
  <c r="D188" i="13"/>
  <c r="C188" i="13"/>
  <c r="B188" i="13"/>
  <c r="D187" i="13"/>
  <c r="C187" i="13"/>
  <c r="B187" i="13"/>
  <c r="E185" i="13"/>
  <c r="B185" i="13"/>
  <c r="D374" i="13"/>
  <c r="C374" i="13"/>
  <c r="B374" i="13"/>
  <c r="K384" i="13"/>
  <c r="J384" i="13"/>
  <c r="I384" i="13"/>
  <c r="J383" i="13"/>
  <c r="D121" i="13"/>
  <c r="C121" i="13"/>
  <c r="B121" i="13"/>
  <c r="E119" i="13"/>
  <c r="K117" i="13"/>
  <c r="J117" i="13"/>
  <c r="I117" i="13"/>
  <c r="L115" i="13"/>
  <c r="I115" i="13"/>
  <c r="K171" i="13"/>
  <c r="J171" i="13"/>
  <c r="I171" i="13"/>
  <c r="K257" i="13"/>
  <c r="J257" i="13"/>
  <c r="I257" i="13"/>
  <c r="D303" i="13"/>
  <c r="C303" i="13"/>
  <c r="B303" i="13"/>
  <c r="D251" i="13"/>
  <c r="C251" i="13"/>
  <c r="B251" i="13"/>
  <c r="I250" i="13"/>
  <c r="B250" i="13"/>
  <c r="I164" i="13"/>
  <c r="K159" i="13"/>
  <c r="J159" i="13"/>
  <c r="I159" i="13"/>
  <c r="I158" i="13"/>
  <c r="C373" i="13"/>
  <c r="K293" i="13"/>
  <c r="J293" i="13"/>
  <c r="I293" i="13"/>
  <c r="I292" i="13"/>
  <c r="D117" i="13"/>
  <c r="C117" i="13"/>
  <c r="B117" i="13"/>
  <c r="E115" i="13"/>
  <c r="B115" i="13"/>
  <c r="M115" i="13" s="1"/>
  <c r="K113" i="13"/>
  <c r="J113" i="13"/>
  <c r="I113" i="13"/>
  <c r="L111" i="13"/>
  <c r="I111" i="13"/>
  <c r="D113" i="13"/>
  <c r="C113" i="13"/>
  <c r="B113" i="13"/>
  <c r="E111" i="13"/>
  <c r="B111" i="13"/>
  <c r="M111" i="13" s="1"/>
  <c r="I152" i="13"/>
  <c r="K383" i="13"/>
  <c r="I383" i="13"/>
  <c r="K382" i="13"/>
  <c r="J382" i="13"/>
  <c r="I382" i="13"/>
  <c r="K381" i="13"/>
  <c r="J381" i="13"/>
  <c r="I381" i="13"/>
  <c r="K380" i="13"/>
  <c r="J380" i="13"/>
  <c r="I380" i="13"/>
  <c r="K379" i="13"/>
  <c r="J379" i="13"/>
  <c r="I379" i="13"/>
  <c r="K378" i="13"/>
  <c r="J378" i="13"/>
  <c r="I378" i="13"/>
  <c r="L376" i="13"/>
  <c r="I376" i="13"/>
  <c r="I366" i="13"/>
  <c r="L366" i="13"/>
  <c r="D383" i="13"/>
  <c r="B383" i="13"/>
  <c r="D382" i="13"/>
  <c r="C382" i="13"/>
  <c r="B382" i="13"/>
  <c r="D381" i="13"/>
  <c r="C381" i="13"/>
  <c r="B381" i="13"/>
  <c r="D380" i="13"/>
  <c r="C380" i="13"/>
  <c r="B380" i="13"/>
  <c r="D379" i="13"/>
  <c r="C379" i="13"/>
  <c r="B379" i="13"/>
  <c r="D378" i="13"/>
  <c r="C378" i="13"/>
  <c r="B378" i="13"/>
  <c r="E376" i="13"/>
  <c r="B376" i="13"/>
  <c r="K373" i="13"/>
  <c r="I373" i="13"/>
  <c r="K372" i="13"/>
  <c r="J372" i="13"/>
  <c r="I372" i="13"/>
  <c r="K371" i="13"/>
  <c r="J371" i="13"/>
  <c r="I371" i="13"/>
  <c r="K370" i="13"/>
  <c r="J370" i="13"/>
  <c r="I370" i="13"/>
  <c r="K369" i="13"/>
  <c r="J369" i="13"/>
  <c r="I369" i="13"/>
  <c r="K368" i="13"/>
  <c r="J368" i="13"/>
  <c r="I368" i="13"/>
  <c r="D373" i="13"/>
  <c r="B373" i="13"/>
  <c r="D372" i="13"/>
  <c r="C372" i="13"/>
  <c r="B372" i="13"/>
  <c r="D371" i="13"/>
  <c r="C371" i="13"/>
  <c r="B371" i="13"/>
  <c r="D370" i="13"/>
  <c r="C370" i="13"/>
  <c r="B370" i="13"/>
  <c r="D369" i="13"/>
  <c r="C369" i="13"/>
  <c r="B369" i="13"/>
  <c r="D368" i="13"/>
  <c r="C368" i="13"/>
  <c r="B368" i="13"/>
  <c r="E366" i="13"/>
  <c r="B366" i="13"/>
  <c r="B320" i="13"/>
  <c r="D319" i="13"/>
  <c r="C319" i="13"/>
  <c r="B319" i="13"/>
  <c r="D318" i="13"/>
  <c r="C318" i="13"/>
  <c r="B318" i="13"/>
  <c r="D317" i="13"/>
  <c r="C317" i="13"/>
  <c r="B317" i="13"/>
  <c r="D316" i="13"/>
  <c r="C316" i="13"/>
  <c r="B316" i="13"/>
  <c r="E314" i="13"/>
  <c r="B314" i="13"/>
  <c r="K311" i="13"/>
  <c r="I311" i="13"/>
  <c r="J311" i="13"/>
  <c r="K310" i="13"/>
  <c r="J310" i="13"/>
  <c r="I310" i="13"/>
  <c r="K309" i="13"/>
  <c r="J309" i="13"/>
  <c r="I309" i="13"/>
  <c r="K308" i="13"/>
  <c r="J308" i="13"/>
  <c r="I308" i="13"/>
  <c r="K307" i="13"/>
  <c r="J307" i="13"/>
  <c r="I307" i="13"/>
  <c r="D311" i="13"/>
  <c r="C311" i="13"/>
  <c r="D310" i="13"/>
  <c r="C310" i="13"/>
  <c r="B310" i="13"/>
  <c r="D309" i="13"/>
  <c r="C309" i="13"/>
  <c r="B309" i="13"/>
  <c r="D308" i="13"/>
  <c r="C308" i="13"/>
  <c r="B308" i="13"/>
  <c r="D307" i="13"/>
  <c r="C307" i="13"/>
  <c r="B307" i="13"/>
  <c r="E305" i="13"/>
  <c r="B305" i="13"/>
  <c r="K301" i="13"/>
  <c r="J301" i="13"/>
  <c r="I301" i="13"/>
  <c r="K300" i="13"/>
  <c r="J300" i="13"/>
  <c r="I300" i="13"/>
  <c r="K299" i="13"/>
  <c r="J299" i="13"/>
  <c r="I299" i="13"/>
  <c r="K298" i="13"/>
  <c r="J298" i="13"/>
  <c r="I298" i="13"/>
  <c r="K297" i="13"/>
  <c r="J297" i="13"/>
  <c r="I297" i="13"/>
  <c r="L295" i="13"/>
  <c r="D302" i="13"/>
  <c r="C302" i="13"/>
  <c r="B302" i="13"/>
  <c r="D301" i="13"/>
  <c r="C301" i="13"/>
  <c r="B301" i="13"/>
  <c r="D300" i="13"/>
  <c r="C300" i="13"/>
  <c r="B300" i="13"/>
  <c r="D299" i="13"/>
  <c r="C299" i="13"/>
  <c r="B299" i="13"/>
  <c r="D298" i="13"/>
  <c r="C298" i="13"/>
  <c r="B298" i="13"/>
  <c r="D297" i="13"/>
  <c r="C297" i="13"/>
  <c r="B297" i="13"/>
  <c r="E295" i="13"/>
  <c r="B295" i="13"/>
  <c r="K292" i="13"/>
  <c r="J292" i="13"/>
  <c r="K291" i="13"/>
  <c r="J291" i="13"/>
  <c r="I291" i="13"/>
  <c r="K290" i="13"/>
  <c r="J290" i="13"/>
  <c r="I290" i="13"/>
  <c r="K289" i="13"/>
  <c r="J289" i="13"/>
  <c r="I289" i="13"/>
  <c r="K288" i="13"/>
  <c r="J288" i="13"/>
  <c r="I288" i="13"/>
  <c r="K287" i="13"/>
  <c r="J287" i="13"/>
  <c r="I287" i="13"/>
  <c r="L285" i="13"/>
  <c r="I285" i="13"/>
  <c r="D291" i="13"/>
  <c r="C291" i="13"/>
  <c r="B291" i="13"/>
  <c r="D290" i="13"/>
  <c r="C290" i="13"/>
  <c r="B290" i="13"/>
  <c r="D289" i="13"/>
  <c r="C289" i="13"/>
  <c r="B289" i="13"/>
  <c r="D288" i="13"/>
  <c r="C288" i="13"/>
  <c r="B288" i="13"/>
  <c r="D287" i="13"/>
  <c r="C287" i="13"/>
  <c r="B287" i="13"/>
  <c r="E285" i="13"/>
  <c r="B285" i="13"/>
  <c r="K256" i="13"/>
  <c r="J256" i="13"/>
  <c r="I256" i="13"/>
  <c r="K255" i="13"/>
  <c r="J255" i="13"/>
  <c r="I255" i="13"/>
  <c r="L253" i="13"/>
  <c r="I253" i="13"/>
  <c r="D256" i="13"/>
  <c r="C256" i="13"/>
  <c r="B256" i="13"/>
  <c r="D255" i="13"/>
  <c r="C255" i="13"/>
  <c r="B255" i="13"/>
  <c r="E253" i="13"/>
  <c r="B253" i="13"/>
  <c r="K250" i="13"/>
  <c r="J250" i="13"/>
  <c r="K249" i="13"/>
  <c r="J249" i="13"/>
  <c r="I249" i="13"/>
  <c r="L247" i="13"/>
  <c r="I247" i="13"/>
  <c r="D250" i="13"/>
  <c r="C250" i="13"/>
  <c r="D249" i="13"/>
  <c r="C249" i="13"/>
  <c r="B249" i="13"/>
  <c r="E247" i="13"/>
  <c r="B247" i="13"/>
  <c r="K244" i="13"/>
  <c r="J244" i="13"/>
  <c r="I244" i="13"/>
  <c r="K243" i="13"/>
  <c r="J243" i="13"/>
  <c r="I243" i="13"/>
  <c r="L241" i="13"/>
  <c r="I241" i="13"/>
  <c r="D244" i="13"/>
  <c r="C244" i="13"/>
  <c r="B244" i="13"/>
  <c r="D243" i="13"/>
  <c r="C243" i="13"/>
  <c r="B243" i="13"/>
  <c r="E241" i="13"/>
  <c r="B241" i="13"/>
  <c r="K238" i="13"/>
  <c r="J238" i="13"/>
  <c r="I238" i="13"/>
  <c r="K237" i="13"/>
  <c r="J237" i="13"/>
  <c r="I237" i="13"/>
  <c r="L235" i="13"/>
  <c r="I235" i="13"/>
  <c r="D238" i="13"/>
  <c r="C238" i="13"/>
  <c r="B238" i="13"/>
  <c r="C237" i="13"/>
  <c r="D237" i="13"/>
  <c r="B237" i="13"/>
  <c r="E235" i="13"/>
  <c r="B235" i="13"/>
  <c r="K182" i="13"/>
  <c r="J182" i="13"/>
  <c r="I182" i="13"/>
  <c r="K181" i="13"/>
  <c r="J181" i="13"/>
  <c r="I181" i="13"/>
  <c r="L179" i="13"/>
  <c r="I179" i="13"/>
  <c r="D182" i="13"/>
  <c r="C182" i="13"/>
  <c r="B182" i="13"/>
  <c r="D181" i="13"/>
  <c r="C181" i="13"/>
  <c r="B181" i="13"/>
  <c r="E179" i="13"/>
  <c r="B179" i="13"/>
  <c r="K176" i="13"/>
  <c r="J176" i="13"/>
  <c r="I176" i="13"/>
  <c r="K175" i="13"/>
  <c r="J175" i="13"/>
  <c r="I175" i="13"/>
  <c r="L173" i="13"/>
  <c r="I173" i="13"/>
  <c r="D176" i="13"/>
  <c r="C176" i="13"/>
  <c r="B176" i="13"/>
  <c r="D175" i="13"/>
  <c r="C175" i="13"/>
  <c r="B175" i="13"/>
  <c r="E173" i="13"/>
  <c r="B173" i="13"/>
  <c r="K170" i="13"/>
  <c r="J170" i="13"/>
  <c r="I170" i="13"/>
  <c r="K169" i="13"/>
  <c r="J169" i="13"/>
  <c r="I169" i="13"/>
  <c r="L167" i="13"/>
  <c r="I167" i="13"/>
  <c r="D170" i="13"/>
  <c r="C170" i="13"/>
  <c r="B170" i="13"/>
  <c r="D169" i="13"/>
  <c r="C169" i="13"/>
  <c r="B169" i="13"/>
  <c r="E167" i="13"/>
  <c r="B167" i="13"/>
  <c r="K164" i="13"/>
  <c r="J164" i="13"/>
  <c r="K163" i="13"/>
  <c r="J163" i="13"/>
  <c r="I163" i="13"/>
  <c r="L161" i="13"/>
  <c r="I161" i="13"/>
  <c r="D164" i="13"/>
  <c r="C164" i="13"/>
  <c r="B164" i="13"/>
  <c r="D163" i="13"/>
  <c r="C163" i="13"/>
  <c r="B163" i="13"/>
  <c r="E161" i="13"/>
  <c r="B161" i="13"/>
  <c r="K158" i="13"/>
  <c r="J158" i="13"/>
  <c r="K157" i="13"/>
  <c r="J157" i="13"/>
  <c r="I157" i="13"/>
  <c r="L155" i="13"/>
  <c r="I155" i="13"/>
  <c r="D158" i="13"/>
  <c r="C158" i="13"/>
  <c r="B158" i="13"/>
  <c r="D157" i="13"/>
  <c r="C157" i="13"/>
  <c r="B157" i="13"/>
  <c r="E155" i="13"/>
  <c r="B155" i="13"/>
  <c r="K152" i="13"/>
  <c r="J152" i="13"/>
  <c r="K151" i="13"/>
  <c r="J151" i="13"/>
  <c r="I151" i="13"/>
  <c r="L149" i="13"/>
  <c r="I149" i="13"/>
  <c r="D152" i="13"/>
  <c r="C152" i="13"/>
  <c r="B152" i="13"/>
  <c r="D151" i="13"/>
  <c r="C151" i="13"/>
  <c r="B151" i="13"/>
  <c r="E149" i="13"/>
  <c r="B149" i="13"/>
  <c r="K146" i="13"/>
  <c r="J146" i="13"/>
  <c r="I146" i="13"/>
  <c r="K145" i="13"/>
  <c r="J145" i="13"/>
  <c r="I145" i="13"/>
  <c r="L143" i="13"/>
  <c r="I143" i="13"/>
  <c r="B146" i="13"/>
  <c r="D146" i="13"/>
  <c r="C146" i="13"/>
  <c r="D145" i="13"/>
  <c r="C145" i="13"/>
  <c r="B145" i="13"/>
  <c r="E143" i="13"/>
  <c r="B143" i="13"/>
  <c r="K140" i="13"/>
  <c r="J140" i="13"/>
  <c r="K139" i="13"/>
  <c r="J139" i="13"/>
  <c r="L137" i="13"/>
  <c r="I137" i="13"/>
  <c r="D140" i="13"/>
  <c r="B140" i="13"/>
  <c r="D139" i="13"/>
  <c r="C139" i="13"/>
  <c r="B139" i="13"/>
  <c r="E137" i="13"/>
  <c r="B137" i="13"/>
  <c r="K109" i="13"/>
  <c r="J109" i="13"/>
  <c r="I109" i="13"/>
  <c r="L107" i="13"/>
  <c r="I107" i="13"/>
  <c r="D109" i="13"/>
  <c r="C109" i="13"/>
  <c r="B109" i="13"/>
  <c r="E107" i="13"/>
  <c r="B107" i="13"/>
  <c r="C107" i="13" s="1"/>
  <c r="K105" i="13"/>
  <c r="J105" i="13"/>
  <c r="I105" i="13"/>
  <c r="L103" i="13"/>
  <c r="I103" i="13"/>
  <c r="D105" i="13"/>
  <c r="C105" i="13"/>
  <c r="B105" i="13"/>
  <c r="E103" i="13"/>
  <c r="B103" i="13"/>
  <c r="C103" i="13" s="1"/>
  <c r="K101" i="13"/>
  <c r="J101" i="13"/>
  <c r="I101" i="13"/>
  <c r="L99" i="13"/>
  <c r="I99" i="13"/>
  <c r="D101" i="13"/>
  <c r="C101" i="13"/>
  <c r="B101" i="13"/>
  <c r="E99" i="13"/>
  <c r="B99" i="13"/>
  <c r="C99" i="13" s="1"/>
  <c r="K97" i="13"/>
  <c r="J97" i="13"/>
  <c r="I97" i="13"/>
  <c r="L95" i="13"/>
  <c r="I95" i="13"/>
  <c r="D97" i="13"/>
  <c r="C97" i="13"/>
  <c r="B97" i="13"/>
  <c r="E95" i="13"/>
  <c r="B95" i="13"/>
  <c r="C95" i="13" s="1"/>
  <c r="K93" i="13"/>
  <c r="J93" i="13"/>
  <c r="I93" i="13"/>
  <c r="L91" i="13"/>
  <c r="I91" i="13"/>
  <c r="B91" i="13"/>
  <c r="F91" i="13" s="1"/>
  <c r="D93" i="13"/>
  <c r="C93" i="13"/>
  <c r="B93" i="13"/>
  <c r="E91" i="13"/>
  <c r="K19" i="13"/>
  <c r="J19" i="13"/>
  <c r="I19" i="13"/>
  <c r="L17" i="13"/>
  <c r="I17" i="13"/>
  <c r="D19" i="13"/>
  <c r="C19" i="13"/>
  <c r="B19" i="13"/>
  <c r="E17" i="13"/>
  <c r="B17" i="13"/>
  <c r="F17" i="13" s="1"/>
  <c r="K15" i="13"/>
  <c r="J15" i="13"/>
  <c r="I15" i="13"/>
  <c r="L13" i="13"/>
  <c r="I13" i="13"/>
  <c r="D15" i="13"/>
  <c r="C15" i="13"/>
  <c r="B15" i="13"/>
  <c r="E13" i="13"/>
  <c r="B13" i="13"/>
  <c r="J13" i="13" s="1"/>
  <c r="K11" i="13"/>
  <c r="J11" i="13"/>
  <c r="I11" i="13"/>
  <c r="L9" i="13"/>
  <c r="I9" i="13"/>
  <c r="B9" i="13"/>
  <c r="F9" i="13" s="1"/>
  <c r="D11" i="13"/>
  <c r="C11" i="13"/>
  <c r="B11" i="13"/>
  <c r="E9" i="13"/>
  <c r="K7" i="13"/>
  <c r="J7" i="13"/>
  <c r="I7" i="13"/>
  <c r="L5" i="13"/>
  <c r="I5" i="13"/>
  <c r="B5" i="13"/>
  <c r="J5" i="13" s="1"/>
  <c r="D7" i="13"/>
  <c r="C7" i="13"/>
  <c r="B7" i="13"/>
  <c r="E5" i="13"/>
  <c r="F115" i="13"/>
  <c r="F69" i="13"/>
  <c r="J123" i="13"/>
  <c r="F127" i="13"/>
  <c r="M127" i="13"/>
  <c r="C127" i="13"/>
  <c r="C123" i="13"/>
  <c r="F29" i="13"/>
  <c r="J61" i="13"/>
  <c r="M45" i="13"/>
  <c r="F45" i="13"/>
  <c r="M37" i="13"/>
  <c r="F61" i="13"/>
  <c r="C61" i="13"/>
  <c r="M53" i="13" l="1"/>
  <c r="J29" i="13"/>
  <c r="J111" i="13"/>
  <c r="M29" i="13"/>
  <c r="C111" i="13"/>
  <c r="C115" i="13"/>
  <c r="J65" i="13"/>
  <c r="F123" i="13"/>
  <c r="J69" i="13"/>
  <c r="M69" i="13"/>
  <c r="J53" i="13"/>
  <c r="F21" i="13"/>
  <c r="C21" i="13"/>
  <c r="M21" i="13"/>
  <c r="J37" i="13"/>
  <c r="J119" i="13"/>
  <c r="F37" i="13"/>
  <c r="F53" i="13"/>
  <c r="J115" i="13"/>
  <c r="J25" i="13"/>
  <c r="F111" i="13"/>
  <c r="M13" i="13"/>
  <c r="C13" i="13"/>
  <c r="M5" i="13"/>
  <c r="F65" i="13"/>
  <c r="M65" i="13"/>
  <c r="M49" i="13"/>
  <c r="F49" i="13"/>
  <c r="C49" i="13"/>
  <c r="C45" i="13"/>
  <c r="F41" i="13"/>
  <c r="C33" i="13"/>
  <c r="F33" i="13"/>
  <c r="J33" i="13"/>
  <c r="C25" i="13"/>
  <c r="M17" i="13"/>
  <c r="F103" i="13"/>
  <c r="J103" i="13"/>
  <c r="F107" i="13"/>
  <c r="J91" i="13"/>
  <c r="J99" i="13"/>
  <c r="C91" i="13"/>
  <c r="M91" i="13"/>
  <c r="J107" i="13"/>
  <c r="M9" i="13"/>
  <c r="J57" i="13"/>
  <c r="M57" i="13"/>
  <c r="M25" i="13"/>
  <c r="C41" i="13"/>
  <c r="J41" i="13"/>
  <c r="F57" i="13"/>
  <c r="F13" i="13"/>
  <c r="C5" i="13"/>
  <c r="F5" i="13"/>
  <c r="J17" i="13"/>
  <c r="M107" i="13"/>
  <c r="J131" i="13"/>
  <c r="M99" i="13"/>
  <c r="F95" i="13"/>
  <c r="C131" i="13"/>
  <c r="F119" i="13"/>
  <c r="J9" i="13"/>
  <c r="J95" i="13"/>
  <c r="M119" i="13"/>
  <c r="M131" i="13"/>
  <c r="C9" i="13"/>
  <c r="C17" i="13"/>
  <c r="F99" i="13"/>
  <c r="M103" i="13"/>
  <c r="M95" i="13"/>
</calcChain>
</file>

<file path=xl/sharedStrings.xml><?xml version="1.0" encoding="utf-8"?>
<sst xmlns="http://schemas.openxmlformats.org/spreadsheetml/2006/main" count="3695" uniqueCount="1280">
  <si>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</si>
  <si>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phoneticPr fontId="1"/>
  </si>
  <si>
    <t>２０１６（平２８）</t>
    <rPh sb="5" eb="6">
      <t>ヘイ</t>
    </rPh>
    <phoneticPr fontId="1"/>
  </si>
  <si>
    <t>浜松大平台(中村)</t>
    <rPh sb="0" eb="2">
      <t>ハママツ</t>
    </rPh>
    <rPh sb="2" eb="4">
      <t>オオヒラ</t>
    </rPh>
    <rPh sb="4" eb="5">
      <t>ダイ</t>
    </rPh>
    <rPh sb="6" eb="8">
      <t>ナカムラ</t>
    </rPh>
    <phoneticPr fontId="1"/>
  </si>
  <si>
    <t>浜松大平台(高井)</t>
    <rPh sb="0" eb="2">
      <t>ハママツ</t>
    </rPh>
    <rPh sb="2" eb="3">
      <t>オオ</t>
    </rPh>
    <rPh sb="3" eb="5">
      <t>ヒラダイ</t>
    </rPh>
    <rPh sb="6" eb="8">
      <t>タカイ</t>
    </rPh>
    <phoneticPr fontId="1"/>
  </si>
  <si>
    <t>S</t>
    <phoneticPr fontId="1"/>
  </si>
  <si>
    <t>アガリ２</t>
  </si>
  <si>
    <t>敗復４組</t>
    <rPh sb="0" eb="1">
      <t>ハイ</t>
    </rPh>
    <rPh sb="1" eb="2">
      <t>フク</t>
    </rPh>
    <rPh sb="3" eb="4">
      <t>クミ</t>
    </rPh>
    <phoneticPr fontId="1"/>
  </si>
  <si>
    <t>女子４×＋</t>
    <rPh sb="0" eb="2">
      <t>ジョシ</t>
    </rPh>
    <phoneticPr fontId="1"/>
  </si>
  <si>
    <t>２０１５（平２７）</t>
    <rPh sb="5" eb="6">
      <t>ヘイ</t>
    </rPh>
    <phoneticPr fontId="1"/>
  </si>
  <si>
    <t>浜松北(冨田)</t>
    <rPh sb="0" eb="2">
      <t>ハママツ</t>
    </rPh>
    <rPh sb="2" eb="3">
      <t>キタ</t>
    </rPh>
    <rPh sb="4" eb="6">
      <t>トミタ</t>
    </rPh>
    <phoneticPr fontId="1"/>
  </si>
  <si>
    <t>２００６（平１８）</t>
    <rPh sb="5" eb="6">
      <t>ヘイ</t>
    </rPh>
    <phoneticPr fontId="1"/>
  </si>
  <si>
    <t>浜松湖南（鈴木）</t>
    <rPh sb="0" eb="3">
      <t>ハママツコ</t>
    </rPh>
    <rPh sb="3" eb="4">
      <t>ナン</t>
    </rPh>
    <rPh sb="5" eb="7">
      <t>スズキ</t>
    </rPh>
    <phoneticPr fontId="1"/>
  </si>
  <si>
    <t>平成１８年</t>
    <rPh sb="0" eb="2">
      <t>ヘイセイ</t>
    </rPh>
    <phoneticPr fontId="1"/>
  </si>
  <si>
    <t>平成１９年</t>
    <rPh sb="0" eb="2">
      <t>ヘイセイ</t>
    </rPh>
    <phoneticPr fontId="1"/>
  </si>
  <si>
    <t>浜松北</t>
    <rPh sb="0" eb="2">
      <t>ハママツ</t>
    </rPh>
    <rPh sb="2" eb="3">
      <t>キタ</t>
    </rPh>
    <phoneticPr fontId="1"/>
  </si>
  <si>
    <t>２００７（平１９）</t>
    <rPh sb="5" eb="6">
      <t>ヘイ</t>
    </rPh>
    <phoneticPr fontId="1"/>
  </si>
  <si>
    <t>二俣（伊東）</t>
    <rPh sb="0" eb="2">
      <t>フタマタ</t>
    </rPh>
    <rPh sb="3" eb="5">
      <t>イトウ</t>
    </rPh>
    <phoneticPr fontId="1"/>
  </si>
  <si>
    <t>Ｂ</t>
    <phoneticPr fontId="1"/>
  </si>
  <si>
    <t>監督</t>
  </si>
  <si>
    <t>シート</t>
  </si>
  <si>
    <t>学年</t>
  </si>
  <si>
    <t>Ｓ</t>
  </si>
  <si>
    <t>クルー</t>
  </si>
  <si>
    <t>選　　手</t>
  </si>
  <si>
    <t>氏　　名</t>
  </si>
  <si>
    <t>Ｃ</t>
  </si>
  <si>
    <t>Ｂ</t>
  </si>
  <si>
    <t>補欠</t>
  </si>
  <si>
    <t>女子１×</t>
    <rPh sb="0" eb="2">
      <t>ジョシ</t>
    </rPh>
    <phoneticPr fontId="1"/>
  </si>
  <si>
    <t>男子２×</t>
    <rPh sb="0" eb="2">
      <t>ダンシ</t>
    </rPh>
    <phoneticPr fontId="1"/>
  </si>
  <si>
    <t>アガリ２</t>
    <phoneticPr fontId="1"/>
  </si>
  <si>
    <t>平成２５年</t>
    <rPh sb="0" eb="2">
      <t>ヘイセイ</t>
    </rPh>
    <phoneticPr fontId="1"/>
  </si>
  <si>
    <t>天竜林</t>
    <rPh sb="0" eb="2">
      <t>テンリュウ</t>
    </rPh>
    <rPh sb="2" eb="3">
      <t>リン</t>
    </rPh>
    <phoneticPr fontId="1"/>
  </si>
  <si>
    <t>レーン</t>
    <phoneticPr fontId="1"/>
  </si>
  <si>
    <t>タイム</t>
    <phoneticPr fontId="1"/>
  </si>
  <si>
    <t>５００ｍ</t>
    <phoneticPr fontId="1"/>
  </si>
  <si>
    <t>１０００ｍ</t>
    <phoneticPr fontId="1"/>
  </si>
  <si>
    <t>２０１３（平２５）</t>
    <rPh sb="5" eb="6">
      <t>ヘイ</t>
    </rPh>
    <phoneticPr fontId="1"/>
  </si>
  <si>
    <t>浜松大平台(山本)</t>
    <rPh sb="0" eb="2">
      <t>ハママツ</t>
    </rPh>
    <rPh sb="2" eb="3">
      <t>オオ</t>
    </rPh>
    <rPh sb="3" eb="5">
      <t>ヒラダイ</t>
    </rPh>
    <rPh sb="6" eb="8">
      <t>ヤマモト</t>
    </rPh>
    <phoneticPr fontId="1"/>
  </si>
  <si>
    <t>浜松大平台(青野)</t>
    <rPh sb="0" eb="2">
      <t>ハママツ</t>
    </rPh>
    <rPh sb="2" eb="3">
      <t>オオ</t>
    </rPh>
    <rPh sb="3" eb="5">
      <t>ヒラダイ</t>
    </rPh>
    <rPh sb="6" eb="8">
      <t>アオノ</t>
    </rPh>
    <phoneticPr fontId="1"/>
  </si>
  <si>
    <t>男子１×</t>
    <rPh sb="0" eb="1">
      <t>ダンシ</t>
    </rPh>
    <rPh sb="1" eb="2">
      <t>ダンシ</t>
    </rPh>
    <phoneticPr fontId="1"/>
  </si>
  <si>
    <t>アガリ２</t>
    <phoneticPr fontId="1"/>
  </si>
  <si>
    <t>平成２６年</t>
    <rPh sb="0" eb="2">
      <t>ヘイセイ</t>
    </rPh>
    <phoneticPr fontId="1"/>
  </si>
  <si>
    <t>２０１４（平２６）</t>
    <rPh sb="5" eb="6">
      <t>ヘイ</t>
    </rPh>
    <phoneticPr fontId="1"/>
  </si>
  <si>
    <t>浜松大平台(近藤)</t>
    <rPh sb="0" eb="2">
      <t>ハママツ</t>
    </rPh>
    <rPh sb="2" eb="3">
      <t>オオ</t>
    </rPh>
    <rPh sb="3" eb="5">
      <t>ヒラダイ</t>
    </rPh>
    <rPh sb="6" eb="8">
      <t>コンドウ</t>
    </rPh>
    <phoneticPr fontId="1"/>
  </si>
  <si>
    <t>浜松湖南(高橋)</t>
    <rPh sb="0" eb="2">
      <t>ハママツ</t>
    </rPh>
    <rPh sb="2" eb="4">
      <t>コナン</t>
    </rPh>
    <rPh sb="5" eb="7">
      <t>タカハシ</t>
    </rPh>
    <phoneticPr fontId="1"/>
  </si>
  <si>
    <t>天竜</t>
    <rPh sb="0" eb="2">
      <t>テンリュウ</t>
    </rPh>
    <phoneticPr fontId="1"/>
  </si>
  <si>
    <t>6組</t>
    <rPh sb="1" eb="2">
      <t>クミ</t>
    </rPh>
    <phoneticPr fontId="1"/>
  </si>
  <si>
    <t>休　憩　（顧　問　会　議）</t>
    <rPh sb="0" eb="1">
      <t>キュウ</t>
    </rPh>
    <rPh sb="2" eb="3">
      <t>イコイ</t>
    </rPh>
    <rPh sb="5" eb="6">
      <t>カエリミ</t>
    </rPh>
    <rPh sb="7" eb="8">
      <t>トイ</t>
    </rPh>
    <rPh sb="9" eb="10">
      <t>カイ</t>
    </rPh>
    <rPh sb="11" eb="12">
      <t>ギ</t>
    </rPh>
    <phoneticPr fontId="1"/>
  </si>
  <si>
    <t>女子２×</t>
    <rPh sb="0" eb="2">
      <t>ジョシ</t>
    </rPh>
    <phoneticPr fontId="1"/>
  </si>
  <si>
    <t>③</t>
  </si>
  <si>
    <t>《審判長注意》</t>
  </si>
  <si>
    <t>Ｓ</t>
    <phoneticPr fontId="1"/>
  </si>
  <si>
    <t>Ｂ</t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</si>
  <si>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</si>
  <si>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phoneticPr fontId="1"/>
  </si>
  <si>
    <t>２０１２（平２４）</t>
    <rPh sb="5" eb="6">
      <t>ヘイ</t>
    </rPh>
    <phoneticPr fontId="1"/>
  </si>
  <si>
    <t>沼津工（大塚）</t>
    <rPh sb="0" eb="2">
      <t>ヌマヅ</t>
    </rPh>
    <rPh sb="2" eb="3">
      <t>コウ</t>
    </rPh>
    <rPh sb="4" eb="6">
      <t>オオツカ</t>
    </rPh>
    <phoneticPr fontId="1"/>
  </si>
  <si>
    <t>競　　　漕　　　成　　　績</t>
    <rPh sb="0" eb="5">
      <t>キョウソウ</t>
    </rPh>
    <rPh sb="8" eb="13">
      <t>セイセキ</t>
    </rPh>
    <phoneticPr fontId="1"/>
  </si>
  <si>
    <t>アガリ２</t>
    <phoneticPr fontId="1"/>
  </si>
  <si>
    <t>　　男女各種目　上位　３クルー　（全種目、同一校複数クルーの参加可）</t>
    <rPh sb="2" eb="4">
      <t>ダンジョ</t>
    </rPh>
    <rPh sb="4" eb="7">
      <t>カクシュモク</t>
    </rPh>
    <rPh sb="8" eb="10">
      <t>ジョウイ</t>
    </rPh>
    <rPh sb="17" eb="20">
      <t>ゼンシュモク</t>
    </rPh>
    <rPh sb="21" eb="24">
      <t>ドウイツコウ</t>
    </rPh>
    <rPh sb="24" eb="26">
      <t>フクスウ</t>
    </rPh>
    <rPh sb="30" eb="32">
      <t>サンカ</t>
    </rPh>
    <rPh sb="32" eb="33">
      <t>カ</t>
    </rPh>
    <phoneticPr fontId="1"/>
  </si>
  <si>
    <t>　女子シングルスカル</t>
    <rPh sb="1" eb="3">
      <t>ジョシ</t>
    </rPh>
    <phoneticPr fontId="1"/>
  </si>
  <si>
    <t>　男子シングルスカル</t>
    <rPh sb="1" eb="3">
      <t>ダンシ</t>
    </rPh>
    <phoneticPr fontId="1"/>
  </si>
  <si>
    <t>　男子ダブルスカル</t>
    <rPh sb="1" eb="3">
      <t>ダンシ</t>
    </rPh>
    <phoneticPr fontId="1"/>
  </si>
  <si>
    <t>　女子ダブルスカル</t>
    <rPh sb="1" eb="3">
      <t>ジョシ</t>
    </rPh>
    <phoneticPr fontId="1"/>
  </si>
  <si>
    <t>　男子舵手付クォドルプル</t>
    <rPh sb="1" eb="3">
      <t>ダンシ</t>
    </rPh>
    <rPh sb="3" eb="5">
      <t>ダシュ</t>
    </rPh>
    <rPh sb="5" eb="6">
      <t>ツ</t>
    </rPh>
    <phoneticPr fontId="1"/>
  </si>
  <si>
    <t>　女子舵手付クォドルプル</t>
    <rPh sb="1" eb="3">
      <t>ジョシ</t>
    </rPh>
    <rPh sb="3" eb="5">
      <t>ダシュ</t>
    </rPh>
    <rPh sb="5" eb="6">
      <t>ツ</t>
    </rPh>
    <phoneticPr fontId="1"/>
  </si>
  <si>
    <t>　決勝</t>
    <rPh sb="1" eb="3">
      <t>ケッショウ</t>
    </rPh>
    <phoneticPr fontId="1"/>
  </si>
  <si>
    <t>男子２×</t>
    <rPh sb="0" eb="1">
      <t>オトコ</t>
    </rPh>
    <rPh sb="1" eb="2">
      <t>ダンシ</t>
    </rPh>
    <phoneticPr fontId="1"/>
  </si>
  <si>
    <t>浜松湖南</t>
    <rPh sb="0" eb="2">
      <t>ハママツ</t>
    </rPh>
    <rPh sb="2" eb="3">
      <t>コ</t>
    </rPh>
    <rPh sb="3" eb="4">
      <t>ナン</t>
    </rPh>
    <phoneticPr fontId="1"/>
  </si>
  <si>
    <t>二　俣</t>
    <rPh sb="0" eb="1">
      <t>ニ</t>
    </rPh>
    <rPh sb="2" eb="3">
      <t>マタ</t>
    </rPh>
    <phoneticPr fontId="1"/>
  </si>
  <si>
    <t>二　 俣</t>
    <rPh sb="0" eb="4">
      <t>フタマタ</t>
    </rPh>
    <phoneticPr fontId="1"/>
  </si>
  <si>
    <t>敗者復活</t>
    <rPh sb="0" eb="2">
      <t>ハイシャ</t>
    </rPh>
    <rPh sb="2" eb="4">
      <t>フッカツ</t>
    </rPh>
    <phoneticPr fontId="1"/>
  </si>
  <si>
    <t>決勝</t>
    <rPh sb="0" eb="2">
      <t>ケッショウ</t>
    </rPh>
    <phoneticPr fontId="1"/>
  </si>
  <si>
    <t>２０１１（平２３）</t>
    <rPh sb="5" eb="6">
      <t>ヘイ</t>
    </rPh>
    <phoneticPr fontId="1"/>
  </si>
  <si>
    <t>沼津工（大友）</t>
    <rPh sb="0" eb="2">
      <t>ヌマヅ</t>
    </rPh>
    <rPh sb="2" eb="3">
      <t>コウ</t>
    </rPh>
    <rPh sb="4" eb="6">
      <t>オオトモ</t>
    </rPh>
    <phoneticPr fontId="1"/>
  </si>
  <si>
    <t>沼津工（植松）</t>
    <rPh sb="0" eb="2">
      <t>ヌマヅ</t>
    </rPh>
    <rPh sb="2" eb="3">
      <t>コウ</t>
    </rPh>
    <rPh sb="4" eb="6">
      <t>ウエマツ</t>
    </rPh>
    <phoneticPr fontId="1"/>
  </si>
  <si>
    <t>男子１×</t>
    <rPh sb="0" eb="1">
      <t>オトコ</t>
    </rPh>
    <rPh sb="1" eb="2">
      <t>ジョシ</t>
    </rPh>
    <phoneticPr fontId="1"/>
  </si>
  <si>
    <t>沼津東</t>
    <rPh sb="0" eb="2">
      <t>ヌマヅ</t>
    </rPh>
    <rPh sb="2" eb="3">
      <t>ヒガシ</t>
    </rPh>
    <phoneticPr fontId="1"/>
  </si>
  <si>
    <t>新居（木下）</t>
    <rPh sb="0" eb="2">
      <t>アライ</t>
    </rPh>
    <rPh sb="3" eb="4">
      <t>キ</t>
    </rPh>
    <rPh sb="4" eb="5">
      <t>シタ</t>
    </rPh>
    <phoneticPr fontId="1"/>
  </si>
  <si>
    <t>浜松北（大城）</t>
    <rPh sb="0" eb="2">
      <t>ハママツ</t>
    </rPh>
    <rPh sb="2" eb="3">
      <t>キタ</t>
    </rPh>
    <rPh sb="4" eb="6">
      <t>オオシロ</t>
    </rPh>
    <phoneticPr fontId="1"/>
  </si>
  <si>
    <t>女子４×＋</t>
    <rPh sb="0" eb="1">
      <t>オンナ</t>
    </rPh>
    <rPh sb="1" eb="2">
      <t>ダンシ</t>
    </rPh>
    <phoneticPr fontId="1"/>
  </si>
  <si>
    <t>【女子ダブルスカル】</t>
    <rPh sb="1" eb="2">
      <t>オンナ</t>
    </rPh>
    <rPh sb="2" eb="3">
      <t>ジョシ</t>
    </rPh>
    <phoneticPr fontId="1"/>
  </si>
  <si>
    <t>【男子舵手付きクォドルプル】</t>
    <rPh sb="1" eb="2">
      <t>ダン</t>
    </rPh>
    <rPh sb="2" eb="3">
      <t>ジョシ</t>
    </rPh>
    <rPh sb="3" eb="5">
      <t>ダシュ</t>
    </rPh>
    <rPh sb="5" eb="6">
      <t>ツ</t>
    </rPh>
    <phoneticPr fontId="1"/>
  </si>
  <si>
    <t>【女子舵手付きクォドルプル】</t>
    <rPh sb="1" eb="2">
      <t>オンナ</t>
    </rPh>
    <rPh sb="2" eb="3">
      <t>ジョシ</t>
    </rPh>
    <rPh sb="3" eb="5">
      <t>ダシュ</t>
    </rPh>
    <rPh sb="5" eb="6">
      <t>ツ</t>
    </rPh>
    <phoneticPr fontId="1"/>
  </si>
  <si>
    <t>２０１０（平２２）</t>
    <rPh sb="5" eb="6">
      <t>ヘイ</t>
    </rPh>
    <phoneticPr fontId="1"/>
  </si>
  <si>
    <t>浜松湖南（栗山卓）</t>
    <rPh sb="0" eb="3">
      <t>ハママツコ</t>
    </rPh>
    <rPh sb="3" eb="4">
      <t>ナン</t>
    </rPh>
    <rPh sb="5" eb="7">
      <t>クリヤマ</t>
    </rPh>
    <rPh sb="7" eb="8">
      <t>タク</t>
    </rPh>
    <phoneticPr fontId="1"/>
  </si>
  <si>
    <t>総　合　体　育　大　会</t>
    <rPh sb="0" eb="3">
      <t>ソウゴウ</t>
    </rPh>
    <rPh sb="4" eb="7">
      <t>タイイク</t>
    </rPh>
    <rPh sb="8" eb="11">
      <t>タイカイ</t>
    </rPh>
    <phoneticPr fontId="1"/>
  </si>
  <si>
    <t>ボ　ー　ト　競　技　(　第２次予選　)</t>
    <rPh sb="6" eb="9">
      <t>キョウギ</t>
    </rPh>
    <rPh sb="12" eb="13">
      <t>ダイ</t>
    </rPh>
    <rPh sb="14" eb="15">
      <t>ジ</t>
    </rPh>
    <rPh sb="15" eb="16">
      <t>ヨ</t>
    </rPh>
    <rPh sb="16" eb="17">
      <t>セン</t>
    </rPh>
    <phoneticPr fontId="1"/>
  </si>
  <si>
    <t>平成２２年</t>
    <rPh sb="0" eb="2">
      <t>ヘイセイ</t>
    </rPh>
    <phoneticPr fontId="1"/>
  </si>
  <si>
    <t>平成２０年</t>
    <rPh sb="0" eb="2">
      <t>ヘイセイ</t>
    </rPh>
    <phoneticPr fontId="1"/>
  </si>
  <si>
    <t>平成２１年</t>
    <rPh sb="0" eb="2">
      <t>ヘイセイ</t>
    </rPh>
    <phoneticPr fontId="1"/>
  </si>
  <si>
    <t>浜松湖南</t>
    <rPh sb="0" eb="2">
      <t>ハママツ</t>
    </rPh>
    <rPh sb="2" eb="4">
      <t>コナン</t>
    </rPh>
    <phoneticPr fontId="1"/>
  </si>
  <si>
    <t>天竜林</t>
    <rPh sb="0" eb="2">
      <t>テンリュウ</t>
    </rPh>
    <rPh sb="2" eb="3">
      <t>バヤシ</t>
    </rPh>
    <phoneticPr fontId="1"/>
  </si>
  <si>
    <t>沼津工</t>
    <rPh sb="0" eb="2">
      <t>ヌマヅ</t>
    </rPh>
    <rPh sb="2" eb="3">
      <t>コウ</t>
    </rPh>
    <phoneticPr fontId="1"/>
  </si>
  <si>
    <t>新　 居　 天竜林</t>
    <rPh sb="0" eb="4">
      <t>アライ</t>
    </rPh>
    <rPh sb="6" eb="8">
      <t>テンリュウ</t>
    </rPh>
    <rPh sb="8" eb="9">
      <t>バヤシ</t>
    </rPh>
    <phoneticPr fontId="1"/>
  </si>
  <si>
    <t>２００８（平２０）</t>
    <rPh sb="5" eb="6">
      <t>ヘイ</t>
    </rPh>
    <phoneticPr fontId="1"/>
  </si>
  <si>
    <t>２００９（平２１）</t>
    <rPh sb="5" eb="6">
      <t>ヘイ</t>
    </rPh>
    <phoneticPr fontId="1"/>
  </si>
  <si>
    <t>浜松北（田中）</t>
    <rPh sb="0" eb="2">
      <t>ハママツ</t>
    </rPh>
    <rPh sb="2" eb="3">
      <t>キタ</t>
    </rPh>
    <rPh sb="4" eb="6">
      <t>タナカ</t>
    </rPh>
    <phoneticPr fontId="1"/>
  </si>
  <si>
    <t>浜松湖南</t>
    <rPh sb="0" eb="3">
      <t>ハママツコ</t>
    </rPh>
    <rPh sb="3" eb="4">
      <t>ナン</t>
    </rPh>
    <phoneticPr fontId="1"/>
  </si>
  <si>
    <t>二俣（鈴木）</t>
    <rPh sb="0" eb="2">
      <t>フタマタ</t>
    </rPh>
    <rPh sb="3" eb="5">
      <t>スズキ</t>
    </rPh>
    <phoneticPr fontId="1"/>
  </si>
  <si>
    <t>沼津東（山田）</t>
    <rPh sb="0" eb="2">
      <t>ヌマヅ</t>
    </rPh>
    <rPh sb="2" eb="3">
      <t>ヒガシ</t>
    </rPh>
    <rPh sb="4" eb="6">
      <t>ヤマダ</t>
    </rPh>
    <phoneticPr fontId="1"/>
  </si>
  <si>
    <t>浜松湖南（小澤）</t>
    <rPh sb="0" eb="2">
      <t>ハママツ</t>
    </rPh>
    <rPh sb="2" eb="4">
      <t>コナン</t>
    </rPh>
    <rPh sb="5" eb="7">
      <t>オザワ</t>
    </rPh>
    <phoneticPr fontId="1"/>
  </si>
  <si>
    <t>天竜林（内山）</t>
    <rPh sb="0" eb="2">
      <t>テンリュウ</t>
    </rPh>
    <rPh sb="2" eb="3">
      <t>バヤシ</t>
    </rPh>
    <rPh sb="4" eb="6">
      <t>ウチヤマ</t>
    </rPh>
    <phoneticPr fontId="1"/>
  </si>
  <si>
    <t>天竜林（長谷川）</t>
    <rPh sb="0" eb="2">
      <t>テンリュウ</t>
    </rPh>
    <rPh sb="2" eb="3">
      <t>バヤシ</t>
    </rPh>
    <rPh sb="4" eb="7">
      <t>ハセガワ</t>
    </rPh>
    <phoneticPr fontId="1"/>
  </si>
  <si>
    <t>沼津工（小河）</t>
    <rPh sb="0" eb="2">
      <t>ヌマヅ</t>
    </rPh>
    <rPh sb="2" eb="3">
      <t>コウ</t>
    </rPh>
    <rPh sb="4" eb="6">
      <t>オガワ</t>
    </rPh>
    <phoneticPr fontId="1"/>
  </si>
  <si>
    <t>沼津工（伊東）</t>
    <rPh sb="0" eb="2">
      <t>ヌマヅ</t>
    </rPh>
    <rPh sb="2" eb="3">
      <t>コウ</t>
    </rPh>
    <rPh sb="4" eb="6">
      <t>イトウ</t>
    </rPh>
    <phoneticPr fontId="1"/>
  </si>
  <si>
    <t>天竜林（大城）</t>
    <rPh sb="0" eb="2">
      <t>テンリュウ</t>
    </rPh>
    <rPh sb="2" eb="3">
      <t>リン</t>
    </rPh>
    <rPh sb="4" eb="6">
      <t>オオシロ</t>
    </rPh>
    <phoneticPr fontId="1"/>
  </si>
  <si>
    <t>天竜林（黒川）</t>
    <rPh sb="0" eb="2">
      <t>テンリュウ</t>
    </rPh>
    <rPh sb="2" eb="3">
      <t>リン</t>
    </rPh>
    <rPh sb="4" eb="6">
      <t>クロカワ</t>
    </rPh>
    <phoneticPr fontId="1"/>
  </si>
  <si>
    <t>男子４×＋</t>
    <rPh sb="0" eb="2">
      <t>ダンシ</t>
    </rPh>
    <phoneticPr fontId="1"/>
  </si>
  <si>
    <t>男子１×</t>
    <rPh sb="0" eb="2">
      <t>ダンシ</t>
    </rPh>
    <phoneticPr fontId="1"/>
  </si>
  <si>
    <t>浜松大平台</t>
    <rPh sb="0" eb="2">
      <t>ハママツ</t>
    </rPh>
    <rPh sb="2" eb="5">
      <t>オオヒラダイ</t>
    </rPh>
    <phoneticPr fontId="1"/>
  </si>
  <si>
    <t>敗復１組</t>
    <rPh sb="0" eb="1">
      <t>ハイ</t>
    </rPh>
    <rPh sb="1" eb="2">
      <t>フク</t>
    </rPh>
    <rPh sb="3" eb="4">
      <t>クミ</t>
    </rPh>
    <phoneticPr fontId="1"/>
  </si>
  <si>
    <t>敗復２組</t>
    <rPh sb="0" eb="1">
      <t>ハイ</t>
    </rPh>
    <rPh sb="1" eb="2">
      <t>フク</t>
    </rPh>
    <rPh sb="3" eb="4">
      <t>クミ</t>
    </rPh>
    <phoneticPr fontId="1"/>
  </si>
  <si>
    <t>敗復３組</t>
    <rPh sb="0" eb="1">
      <t>ハイ</t>
    </rPh>
    <rPh sb="1" eb="2">
      <t>フク</t>
    </rPh>
    <rPh sb="3" eb="4">
      <t>クミ</t>
    </rPh>
    <phoneticPr fontId="1"/>
  </si>
  <si>
    <t>５００ｍ</t>
    <phoneticPr fontId="1"/>
  </si>
  <si>
    <t>１０００ｍ</t>
    <phoneticPr fontId="1"/>
  </si>
  <si>
    <t>1組</t>
    <rPh sb="1" eb="2">
      <t>クミ</t>
    </rPh>
    <phoneticPr fontId="1"/>
  </si>
  <si>
    <t>2組</t>
    <rPh sb="1" eb="2">
      <t>クミ</t>
    </rPh>
    <phoneticPr fontId="1"/>
  </si>
  <si>
    <t>3組</t>
    <rPh sb="1" eb="2">
      <t>クミ</t>
    </rPh>
    <phoneticPr fontId="1"/>
  </si>
  <si>
    <t>4組</t>
    <rPh sb="1" eb="2">
      <t>クミ</t>
    </rPh>
    <phoneticPr fontId="1"/>
  </si>
  <si>
    <t>5組</t>
    <rPh sb="1" eb="2">
      <t>クミ</t>
    </rPh>
    <phoneticPr fontId="1"/>
  </si>
  <si>
    <t>沼津工</t>
    <rPh sb="0" eb="2">
      <t>ヌマヅコウ</t>
    </rPh>
    <rPh sb="2" eb="3">
      <t>コウ</t>
    </rPh>
    <phoneticPr fontId="1"/>
  </si>
  <si>
    <t>浜松大平台</t>
    <rPh sb="0" eb="2">
      <t>ハママツ</t>
    </rPh>
    <rPh sb="2" eb="3">
      <t>オオ</t>
    </rPh>
    <rPh sb="3" eb="5">
      <t>ヒラダイ</t>
    </rPh>
    <phoneticPr fontId="1"/>
  </si>
  <si>
    <t>予選１組</t>
    <rPh sb="0" eb="2">
      <t>ヨセン</t>
    </rPh>
    <rPh sb="3" eb="4">
      <t>クミ</t>
    </rPh>
    <phoneticPr fontId="1"/>
  </si>
  <si>
    <t>予選２組</t>
    <rPh sb="0" eb="2">
      <t>ヨセン</t>
    </rPh>
    <rPh sb="3" eb="4">
      <t>クミ</t>
    </rPh>
    <phoneticPr fontId="1"/>
  </si>
  <si>
    <t>予選３組</t>
    <rPh sb="0" eb="2">
      <t>ヨセン</t>
    </rPh>
    <rPh sb="3" eb="4">
      <t>クミ</t>
    </rPh>
    <phoneticPr fontId="1"/>
  </si>
  <si>
    <t>予選４組</t>
    <rPh sb="0" eb="2">
      <t>ヨセン</t>
    </rPh>
    <rPh sb="3" eb="4">
      <t>クミ</t>
    </rPh>
    <phoneticPr fontId="1"/>
  </si>
  <si>
    <t>予選５組</t>
    <rPh sb="0" eb="2">
      <t>ヨセン</t>
    </rPh>
    <rPh sb="3" eb="4">
      <t>クミ</t>
    </rPh>
    <phoneticPr fontId="1"/>
  </si>
  <si>
    <t>Ｎ０</t>
    <phoneticPr fontId="1"/>
  </si>
  <si>
    <t>シート</t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</si>
  <si>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</si>
  <si>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</si>
  <si>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Ｓ</t>
    <phoneticPr fontId="1"/>
  </si>
  <si>
    <t>Ｎ０</t>
    <phoneticPr fontId="1"/>
  </si>
  <si>
    <t>シート</t>
    <phoneticPr fontId="1"/>
  </si>
  <si>
    <t>Ｓ</t>
    <phoneticPr fontId="1"/>
  </si>
  <si>
    <t>男子2×</t>
    <rPh sb="0" eb="2">
      <t>ダンシ</t>
    </rPh>
    <phoneticPr fontId="1"/>
  </si>
  <si>
    <t>Ｂ</t>
    <phoneticPr fontId="1"/>
  </si>
  <si>
    <t>Ｂ</t>
    <phoneticPr fontId="1"/>
  </si>
  <si>
    <t>女子2×</t>
    <rPh sb="0" eb="1">
      <t>オンナ</t>
    </rPh>
    <rPh sb="1" eb="2">
      <t>ダンシ</t>
    </rPh>
    <phoneticPr fontId="1"/>
  </si>
  <si>
    <t>Ｎ０</t>
    <phoneticPr fontId="1"/>
  </si>
  <si>
    <t>シート</t>
    <phoneticPr fontId="1"/>
  </si>
  <si>
    <t>Ｓ</t>
    <phoneticPr fontId="1"/>
  </si>
  <si>
    <t>Ｃ</t>
    <phoneticPr fontId="1"/>
  </si>
  <si>
    <t>Ｂ</t>
    <phoneticPr fontId="1"/>
  </si>
  <si>
    <t>Ｓ</t>
    <phoneticPr fontId="1"/>
  </si>
  <si>
    <t>Ｃ</t>
    <phoneticPr fontId="1"/>
  </si>
  <si>
    <t>Ｃ</t>
    <phoneticPr fontId="1"/>
  </si>
  <si>
    <t>Ｂ</t>
    <phoneticPr fontId="1"/>
  </si>
  <si>
    <t>Ｃ</t>
    <phoneticPr fontId="1"/>
  </si>
  <si>
    <t>Ｓ</t>
    <phoneticPr fontId="1"/>
  </si>
  <si>
    <t>Ｓ</t>
    <phoneticPr fontId="1"/>
  </si>
  <si>
    <t>Ｂ</t>
    <phoneticPr fontId="1"/>
  </si>
  <si>
    <t>４×＋</t>
    <phoneticPr fontId="1"/>
  </si>
  <si>
    <t>２×</t>
    <phoneticPr fontId="1"/>
  </si>
  <si>
    <t>１×</t>
    <phoneticPr fontId="1"/>
  </si>
  <si>
    <t>ダブルスカル</t>
    <phoneticPr fontId="1"/>
  </si>
  <si>
    <t>シングルスカル</t>
    <phoneticPr fontId="1"/>
  </si>
  <si>
    <t>期　 日</t>
    <rPh sb="0" eb="4">
      <t>キジツ</t>
    </rPh>
    <phoneticPr fontId="1"/>
  </si>
  <si>
    <t>会　 場</t>
    <rPh sb="0" eb="4">
      <t>カイジョウ</t>
    </rPh>
    <phoneticPr fontId="1"/>
  </si>
  <si>
    <t>主　 催</t>
    <rPh sb="0" eb="4">
      <t>シュサイ</t>
    </rPh>
    <phoneticPr fontId="1"/>
  </si>
  <si>
    <t>静 　岡　 県　 高　 等　 学　 校　 体　 育　 連　 盟</t>
    <rPh sb="0" eb="7">
      <t>シズオカケン</t>
    </rPh>
    <rPh sb="9" eb="13">
      <t>コウトウ</t>
    </rPh>
    <rPh sb="15" eb="19">
      <t>ガッコウ</t>
    </rPh>
    <rPh sb="21" eb="25">
      <t>タイイク</t>
    </rPh>
    <rPh sb="27" eb="31">
      <t>レンメイ</t>
    </rPh>
    <phoneticPr fontId="1"/>
  </si>
  <si>
    <t>静　　岡　　県　　教　　育　　委　　員　　会</t>
    <rPh sb="0" eb="7">
      <t>シズオカケン</t>
    </rPh>
    <rPh sb="9" eb="13">
      <t>キョウイク</t>
    </rPh>
    <rPh sb="15" eb="22">
      <t>イインカイ</t>
    </rPh>
    <phoneticPr fontId="1"/>
  </si>
  <si>
    <t>静　　岡　　県　　ボ　　ー　　ト　　協　　会</t>
    <rPh sb="0" eb="7">
      <t>シズオカケン</t>
    </rPh>
    <rPh sb="18" eb="22">
      <t>キョウカイ</t>
    </rPh>
    <phoneticPr fontId="1"/>
  </si>
  <si>
    <t>後　 援</t>
    <rPh sb="0" eb="4">
      <t>コウエン</t>
    </rPh>
    <phoneticPr fontId="1"/>
  </si>
  <si>
    <t>主　 管</t>
    <rPh sb="0" eb="4">
      <t>シュカン</t>
    </rPh>
    <phoneticPr fontId="1"/>
  </si>
  <si>
    <t>静 岡 県 高 等 学 校 体 育 連 盟 ボ ー ト 専 門 部</t>
    <rPh sb="0" eb="5">
      <t>シズオカケン</t>
    </rPh>
    <rPh sb="6" eb="9">
      <t>コウトウ</t>
    </rPh>
    <rPh sb="10" eb="13">
      <t>ガッコウ</t>
    </rPh>
    <rPh sb="14" eb="17">
      <t>タイイク</t>
    </rPh>
    <rPh sb="18" eb="21">
      <t>レンメイ</t>
    </rPh>
    <rPh sb="28" eb="31">
      <t>センモン</t>
    </rPh>
    <rPh sb="32" eb="33">
      <t>ブ</t>
    </rPh>
    <phoneticPr fontId="1"/>
  </si>
  <si>
    <t>公　　式　　記　　録</t>
    <rPh sb="0" eb="4">
      <t>コウシキ</t>
    </rPh>
    <rPh sb="6" eb="10">
      <t>キロク</t>
    </rPh>
    <phoneticPr fontId="1"/>
  </si>
  <si>
    <t>競　　漕　　日　　程</t>
    <rPh sb="0" eb="4">
      <t>キョウソウ</t>
    </rPh>
    <rPh sb="6" eb="10">
      <t>ニッテイ</t>
    </rPh>
    <phoneticPr fontId="1"/>
  </si>
  <si>
    <t>レースＮｏ</t>
    <phoneticPr fontId="1"/>
  </si>
  <si>
    <t>発艇時刻</t>
    <rPh sb="0" eb="1">
      <t>ハツ</t>
    </rPh>
    <rPh sb="1" eb="2">
      <t>テイ</t>
    </rPh>
    <rPh sb="2" eb="4">
      <t>ジコク</t>
    </rPh>
    <phoneticPr fontId="1"/>
  </si>
  <si>
    <t>種　　　　　　目</t>
    <rPh sb="0" eb="8">
      <t>シュモク</t>
    </rPh>
    <phoneticPr fontId="1"/>
  </si>
  <si>
    <t>レースＮｏ</t>
    <phoneticPr fontId="1"/>
  </si>
  <si>
    <t>※　　東海高等学校総合体育大会・全国高等学校総合体育大会出場権について</t>
    <rPh sb="3" eb="5">
      <t>トウカイコウ</t>
    </rPh>
    <rPh sb="5" eb="9">
      <t>コウコウ</t>
    </rPh>
    <rPh sb="9" eb="11">
      <t>ソウゴウ</t>
    </rPh>
    <rPh sb="11" eb="13">
      <t>タイイク</t>
    </rPh>
    <rPh sb="13" eb="15">
      <t>タイカイ</t>
    </rPh>
    <rPh sb="16" eb="18">
      <t>ゼンコク</t>
    </rPh>
    <rPh sb="18" eb="20">
      <t>コウトウ</t>
    </rPh>
    <rPh sb="20" eb="22">
      <t>ガッコウ</t>
    </rPh>
    <rPh sb="22" eb="24">
      <t>ソウゴウ</t>
    </rPh>
    <rPh sb="24" eb="26">
      <t>タイイク</t>
    </rPh>
    <rPh sb="26" eb="28">
      <t>タイカイ</t>
    </rPh>
    <rPh sb="28" eb="31">
      <t>シュツジョウケン</t>
    </rPh>
    <phoneticPr fontId="1"/>
  </si>
  <si>
    <t>東海高等学校総合体育大会出場権</t>
    <rPh sb="0" eb="2">
      <t>トウカイ</t>
    </rPh>
    <rPh sb="2" eb="4">
      <t>コウトウ</t>
    </rPh>
    <rPh sb="4" eb="6">
      <t>ガッコウ</t>
    </rPh>
    <rPh sb="6" eb="8">
      <t>ソウゴウ</t>
    </rPh>
    <rPh sb="8" eb="10">
      <t>タイイク</t>
    </rPh>
    <rPh sb="10" eb="12">
      <t>タイカイ</t>
    </rPh>
    <rPh sb="12" eb="15">
      <t>シュツジョウケン</t>
    </rPh>
    <phoneticPr fontId="1"/>
  </si>
  <si>
    <t>全国高等学校総合体育大会出場権</t>
    <rPh sb="0" eb="2">
      <t>ゼンコク</t>
    </rPh>
    <rPh sb="2" eb="4">
      <t>コウトウ</t>
    </rPh>
    <rPh sb="4" eb="6">
      <t>ガッコウ</t>
    </rPh>
    <rPh sb="6" eb="8">
      <t>ソウゴウ</t>
    </rPh>
    <rPh sb="8" eb="10">
      <t>タイイク</t>
    </rPh>
    <rPh sb="10" eb="12">
      <t>タイカイ</t>
    </rPh>
    <rPh sb="12" eb="15">
      <t>シュツジョウケン</t>
    </rPh>
    <phoneticPr fontId="1"/>
  </si>
  <si>
    <t>　　男女各種目　優勝クルー</t>
    <rPh sb="2" eb="4">
      <t>ダンジョ</t>
    </rPh>
    <rPh sb="4" eb="7">
      <t>カクシュモク</t>
    </rPh>
    <rPh sb="8" eb="10">
      <t>ユウショウ</t>
    </rPh>
    <phoneticPr fontId="1"/>
  </si>
  <si>
    <t>得　　点　　表</t>
    <rPh sb="0" eb="4">
      <t>トクテン</t>
    </rPh>
    <rPh sb="6" eb="7">
      <t>ヒョウ</t>
    </rPh>
    <phoneticPr fontId="1"/>
  </si>
  <si>
    <t>男子総合</t>
    <rPh sb="0" eb="2">
      <t>ダンシ</t>
    </rPh>
    <rPh sb="2" eb="4">
      <t>ソウゴウ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</si>
  <si>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</si>
  <si>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</si>
  <si>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</si>
  <si>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女子総合</t>
    <rPh sb="0" eb="2">
      <t>ジョシ</t>
    </rPh>
    <rPh sb="2" eb="4">
      <t>ソウゴウ</t>
    </rPh>
    <phoneticPr fontId="1"/>
  </si>
  <si>
    <t>高校名</t>
    <rPh sb="0" eb="3">
      <t>コウコウメイ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</si>
  <si>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</si>
  <si>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</si>
  <si>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</si>
  <si>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順位</t>
    <rPh sb="0" eb="2">
      <t>ジュンイ</t>
    </rPh>
    <phoneticPr fontId="1"/>
  </si>
  <si>
    <t>清水南</t>
    <rPh sb="0" eb="2">
      <t>シミズ</t>
    </rPh>
    <rPh sb="2" eb="3">
      <t>ミナミ</t>
    </rPh>
    <phoneticPr fontId="1"/>
  </si>
  <si>
    <t>浜松西</t>
    <rPh sb="0" eb="2">
      <t>ハママツ</t>
    </rPh>
    <rPh sb="2" eb="3">
      <t>ニシ</t>
    </rPh>
    <phoneticPr fontId="1"/>
  </si>
  <si>
    <t>湖西</t>
    <rPh sb="0" eb="2">
      <t>コサイ</t>
    </rPh>
    <phoneticPr fontId="1"/>
  </si>
  <si>
    <t>新居</t>
    <rPh sb="0" eb="2">
      <t>アライ</t>
    </rPh>
    <phoneticPr fontId="1"/>
  </si>
  <si>
    <t>二俣</t>
    <rPh sb="0" eb="2">
      <t>フタマタ</t>
    </rPh>
    <phoneticPr fontId="1"/>
  </si>
  <si>
    <t>種　　　　　目</t>
    <rPh sb="0" eb="7">
      <t>シュモク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</si>
  <si>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</si>
  <si>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</si>
  <si>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</si>
  <si>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舵手付きクォドルプル</t>
    <rPh sb="0" eb="2">
      <t>ダシュ</t>
    </rPh>
    <rPh sb="2" eb="3">
      <t>ツ</t>
    </rPh>
    <phoneticPr fontId="1"/>
  </si>
  <si>
    <t>総合成績の表彰は１位・２位・３位とする。</t>
    <rPh sb="0" eb="2">
      <t>ソウゴウ</t>
    </rPh>
    <rPh sb="2" eb="4">
      <t>セイセキ</t>
    </rPh>
    <rPh sb="5" eb="7">
      <t>ヒョウショウ</t>
    </rPh>
    <rPh sb="9" eb="10">
      <t>イ</t>
    </rPh>
    <rPh sb="12" eb="13">
      <t>イ</t>
    </rPh>
    <rPh sb="15" eb="16">
      <t>イ</t>
    </rPh>
    <phoneticPr fontId="1"/>
  </si>
  <si>
    <t>得点方法</t>
    <rPh sb="0" eb="2">
      <t>トクテン</t>
    </rPh>
    <rPh sb="2" eb="4">
      <t>ホウホウ</t>
    </rPh>
    <phoneticPr fontId="1"/>
  </si>
  <si>
    <t>上記得点表にもとずき、男子、女子の総合成績を決定する。</t>
    <rPh sb="0" eb="2">
      <t>ジョウキ</t>
    </rPh>
    <rPh sb="2" eb="4">
      <t>トクテン</t>
    </rPh>
    <rPh sb="4" eb="5">
      <t>ヒョウ</t>
    </rPh>
    <rPh sb="11" eb="13">
      <t>ダンシ</t>
    </rPh>
    <rPh sb="14" eb="16">
      <t>ジョシ</t>
    </rPh>
    <rPh sb="17" eb="19">
      <t>ソウゴウ</t>
    </rPh>
    <rPh sb="19" eb="21">
      <t>セイセキ</t>
    </rPh>
    <rPh sb="22" eb="24">
      <t>ケッテイ</t>
    </rPh>
    <phoneticPr fontId="1"/>
  </si>
  <si>
    <t>同一団体より２クルー以上出漕している場合は、上位１クルーを得点対象</t>
    <rPh sb="0" eb="2">
      <t>ドウイツ</t>
    </rPh>
    <rPh sb="2" eb="4">
      <t>ダンタイ</t>
    </rPh>
    <rPh sb="10" eb="12">
      <t>イジョウ</t>
    </rPh>
    <rPh sb="12" eb="13">
      <t>シュツ</t>
    </rPh>
    <rPh sb="13" eb="14">
      <t>ソウ</t>
    </rPh>
    <rPh sb="18" eb="20">
      <t>バアイ</t>
    </rPh>
    <rPh sb="22" eb="24">
      <t>ジョウイ</t>
    </rPh>
    <rPh sb="29" eb="31">
      <t>トクテン</t>
    </rPh>
    <rPh sb="31" eb="33">
      <t>タイショウ</t>
    </rPh>
    <phoneticPr fontId="1"/>
  </si>
  <si>
    <t>とする。このとき、他校を繰り上げる。</t>
    <rPh sb="9" eb="11">
      <t>タコウ</t>
    </rPh>
    <rPh sb="12" eb="15">
      <t>クリア</t>
    </rPh>
    <phoneticPr fontId="1"/>
  </si>
  <si>
    <t>同点の場合は、総合優勝を決めるときのみ、上位入賞数の多い学校を</t>
    <rPh sb="0" eb="2">
      <t>ドウテン</t>
    </rPh>
    <rPh sb="3" eb="5">
      <t>バアイ</t>
    </rPh>
    <rPh sb="7" eb="9">
      <t>ソウゴウ</t>
    </rPh>
    <rPh sb="9" eb="11">
      <t>ユウショウ</t>
    </rPh>
    <rPh sb="12" eb="13">
      <t>キ</t>
    </rPh>
    <rPh sb="20" eb="22">
      <t>ジョウイ</t>
    </rPh>
    <rPh sb="22" eb="24">
      <t>ニュウショウ</t>
    </rPh>
    <rPh sb="24" eb="25">
      <t>スウ</t>
    </rPh>
    <rPh sb="26" eb="27">
      <t>オオ</t>
    </rPh>
    <rPh sb="28" eb="30">
      <t>ガッコウ</t>
    </rPh>
    <phoneticPr fontId="1"/>
  </si>
  <si>
    <t>上位とする。</t>
    <rPh sb="0" eb="2">
      <t>ジョウイ</t>
    </rPh>
    <phoneticPr fontId="1"/>
  </si>
  <si>
    <t>総合成績一覧</t>
    <rPh sb="0" eb="2">
      <t>ソウゴウ</t>
    </rPh>
    <rPh sb="2" eb="4">
      <t>セイセキ</t>
    </rPh>
    <rPh sb="4" eb="6">
      <t>イチラン</t>
    </rPh>
    <phoneticPr fontId="1"/>
  </si>
  <si>
    <t>年度</t>
    <rPh sb="0" eb="2">
      <t>ネンド</t>
    </rPh>
    <phoneticPr fontId="1"/>
  </si>
  <si>
    <t>平成  ６年</t>
    <rPh sb="0" eb="2">
      <t>ヘイセイ</t>
    </rPh>
    <rPh sb="5" eb="6">
      <t>ネン</t>
    </rPh>
    <phoneticPr fontId="1"/>
  </si>
  <si>
    <t>新　 居</t>
    <rPh sb="0" eb="4">
      <t>アライ</t>
    </rPh>
    <phoneticPr fontId="1"/>
  </si>
  <si>
    <t>沼津学園</t>
    <rPh sb="0" eb="2">
      <t>ヌマヅ</t>
    </rPh>
    <rPh sb="2" eb="4">
      <t>ガクエン</t>
    </rPh>
    <phoneticPr fontId="1"/>
  </si>
  <si>
    <t>平成　７年</t>
    <rPh sb="0" eb="2">
      <t>ヘイセイ</t>
    </rPh>
    <rPh sb="4" eb="5">
      <t>ネン</t>
    </rPh>
    <phoneticPr fontId="1"/>
  </si>
  <si>
    <t>湖　 西</t>
    <rPh sb="0" eb="4">
      <t>コサイ</t>
    </rPh>
    <phoneticPr fontId="1"/>
  </si>
  <si>
    <t>平成　８年</t>
    <rPh sb="0" eb="2">
      <t>ヘイセイ</t>
    </rPh>
    <rPh sb="4" eb="5">
      <t>ネン</t>
    </rPh>
    <phoneticPr fontId="1"/>
  </si>
  <si>
    <t>平成　９年</t>
    <rPh sb="0" eb="2">
      <t>ヘイセイ</t>
    </rPh>
    <rPh sb="4" eb="5">
      <t>ネン</t>
    </rPh>
    <phoneticPr fontId="1"/>
  </si>
  <si>
    <t>平成１０年</t>
    <rPh sb="0" eb="2">
      <t>ヘイセイ</t>
    </rPh>
    <rPh sb="4" eb="5">
      <t>ネン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</si>
  <si>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</si>
  <si>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</si>
  <si>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</si>
  <si>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</si>
  <si>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平成１５年</t>
    <rPh sb="0" eb="2">
      <t>ヘイセイ</t>
    </rPh>
    <phoneticPr fontId="1"/>
  </si>
  <si>
    <t>平成１６年</t>
    <rPh sb="0" eb="2">
      <t>ヘイセイ</t>
    </rPh>
    <phoneticPr fontId="1"/>
  </si>
  <si>
    <t>平成１７年</t>
    <rPh sb="0" eb="2">
      <t>ヘイセイ</t>
    </rPh>
    <phoneticPr fontId="1"/>
  </si>
  <si>
    <t>静岡県高等学校総合体育大会優勝校一覧</t>
    <rPh sb="0" eb="3">
      <t>シズオカケン</t>
    </rPh>
    <rPh sb="3" eb="5">
      <t>コウトウ</t>
    </rPh>
    <rPh sb="5" eb="7">
      <t>ガッコウソウ</t>
    </rPh>
    <rPh sb="7" eb="9">
      <t>ソウゴウ</t>
    </rPh>
    <rPh sb="9" eb="11">
      <t>タイイク</t>
    </rPh>
    <rPh sb="11" eb="13">
      <t>タイカイ</t>
    </rPh>
    <rPh sb="13" eb="16">
      <t>ユウショウコウ</t>
    </rPh>
    <rPh sb="16" eb="18">
      <t>イチラン</t>
    </rPh>
    <phoneticPr fontId="1"/>
  </si>
  <si>
    <t>１９５１年(昭和２６年）以降</t>
    <rPh sb="4" eb="5">
      <t>ネン</t>
    </rPh>
    <rPh sb="6" eb="8">
      <t>ショウワ</t>
    </rPh>
    <rPh sb="10" eb="11">
      <t>ネン</t>
    </rPh>
    <rPh sb="12" eb="14">
      <t>イコウ</t>
    </rPh>
    <phoneticPr fontId="1"/>
  </si>
  <si>
    <t>ﾅッｸﾙﾌｫｱ</t>
    <phoneticPr fontId="1"/>
  </si>
  <si>
    <t>１９５１（昭２６）</t>
    <rPh sb="5" eb="6">
      <t>ショウ</t>
    </rPh>
    <phoneticPr fontId="1"/>
  </si>
  <si>
    <t>１９５２（昭２７）</t>
    <rPh sb="5" eb="6">
      <t>ショウ</t>
    </rPh>
    <phoneticPr fontId="1"/>
  </si>
  <si>
    <t>１９５３（昭２８）</t>
    <rPh sb="5" eb="6">
      <t>ショウ</t>
    </rPh>
    <phoneticPr fontId="1"/>
  </si>
  <si>
    <t>１９５４（昭２９）</t>
    <rPh sb="5" eb="6">
      <t>ショウ</t>
    </rPh>
    <phoneticPr fontId="1"/>
  </si>
  <si>
    <t>１９５５（昭３０）</t>
    <rPh sb="5" eb="6">
      <t>ショウ</t>
    </rPh>
    <phoneticPr fontId="1"/>
  </si>
  <si>
    <t>１９５６（昭３１）</t>
    <rPh sb="5" eb="6">
      <t>ショウ</t>
    </rPh>
    <phoneticPr fontId="1"/>
  </si>
  <si>
    <t>１９５７（昭３２）</t>
    <rPh sb="5" eb="6">
      <t>ショウ</t>
    </rPh>
    <phoneticPr fontId="1"/>
  </si>
  <si>
    <t>１９５８（昭３３）</t>
    <rPh sb="5" eb="6">
      <t>ショウ</t>
    </rPh>
    <phoneticPr fontId="1"/>
  </si>
  <si>
    <t>１９５９（昭３４）</t>
    <rPh sb="5" eb="6">
      <t>ショウ</t>
    </rPh>
    <phoneticPr fontId="1"/>
  </si>
  <si>
    <t>１９６０（昭３５）</t>
    <rPh sb="5" eb="6">
      <t>ショウ</t>
    </rPh>
    <phoneticPr fontId="1"/>
  </si>
  <si>
    <t>１９６１（昭３６）</t>
    <rPh sb="5" eb="6">
      <t>ショウ</t>
    </rPh>
    <phoneticPr fontId="1"/>
  </si>
  <si>
    <t>１９６２（昭３７）</t>
    <rPh sb="5" eb="6">
      <t>ショウ</t>
    </rPh>
    <phoneticPr fontId="1"/>
  </si>
  <si>
    <t>１９６３（昭３８）</t>
    <rPh sb="5" eb="6">
      <t>ショウ</t>
    </rPh>
    <phoneticPr fontId="1"/>
  </si>
  <si>
    <t>１９６４（昭３９）</t>
    <rPh sb="5" eb="6">
      <t>ショウ</t>
    </rPh>
    <phoneticPr fontId="1"/>
  </si>
  <si>
    <t>１９６５（昭４０）</t>
    <rPh sb="5" eb="6">
      <t>ショウ</t>
    </rPh>
    <phoneticPr fontId="1"/>
  </si>
  <si>
    <t>１９６６（昭４１）</t>
    <rPh sb="5" eb="6">
      <t>ショウ</t>
    </rPh>
    <phoneticPr fontId="1"/>
  </si>
  <si>
    <t>１９６７（昭４２）</t>
    <rPh sb="5" eb="6">
      <t>ショウ</t>
    </rPh>
    <phoneticPr fontId="1"/>
  </si>
  <si>
    <t>１９６８（昭４３）</t>
    <rPh sb="5" eb="6">
      <t>ショウ</t>
    </rPh>
    <phoneticPr fontId="1"/>
  </si>
  <si>
    <t>１９６９（昭４４）</t>
    <rPh sb="5" eb="6">
      <t>ショウ</t>
    </rPh>
    <phoneticPr fontId="1"/>
  </si>
  <si>
    <t>１９７０（昭４５）</t>
    <rPh sb="5" eb="6">
      <t>ショウ</t>
    </rPh>
    <phoneticPr fontId="1"/>
  </si>
  <si>
    <t>１９７１（昭４６）</t>
    <rPh sb="5" eb="6">
      <t>ショウ</t>
    </rPh>
    <phoneticPr fontId="1"/>
  </si>
  <si>
    <t>三ヶ日</t>
    <rPh sb="0" eb="3">
      <t>ミッカビ</t>
    </rPh>
    <phoneticPr fontId="1"/>
  </si>
  <si>
    <t>１９７２（昭４７）</t>
    <rPh sb="5" eb="6">
      <t>ショウ</t>
    </rPh>
    <phoneticPr fontId="1"/>
  </si>
  <si>
    <t>熱海</t>
    <rPh sb="0" eb="2">
      <t>アタミ</t>
    </rPh>
    <phoneticPr fontId="1"/>
  </si>
  <si>
    <t>１９７３（昭４８）</t>
    <rPh sb="5" eb="6">
      <t>ショウ</t>
    </rPh>
    <phoneticPr fontId="1"/>
  </si>
  <si>
    <t>沼津工（田代）</t>
    <rPh sb="0" eb="2">
      <t>ヌマヅ</t>
    </rPh>
    <rPh sb="2" eb="3">
      <t>コウ</t>
    </rPh>
    <rPh sb="4" eb="6">
      <t>タシロ</t>
    </rPh>
    <phoneticPr fontId="1"/>
  </si>
  <si>
    <t>１９７４（昭４９）</t>
    <rPh sb="5" eb="6">
      <t>ショウ</t>
    </rPh>
    <phoneticPr fontId="1"/>
  </si>
  <si>
    <t>沼津工（下山）</t>
    <rPh sb="0" eb="2">
      <t>ヌマヅ</t>
    </rPh>
    <rPh sb="2" eb="3">
      <t>コウ</t>
    </rPh>
    <rPh sb="4" eb="6">
      <t>シモヤマ</t>
    </rPh>
    <phoneticPr fontId="1"/>
  </si>
  <si>
    <t>舵手付フォア</t>
    <rPh sb="0" eb="2">
      <t>ダシュ</t>
    </rPh>
    <rPh sb="2" eb="3">
      <t>ツ</t>
    </rPh>
    <phoneticPr fontId="1"/>
  </si>
  <si>
    <t>ﾅッｸﾙﾌｫｱ</t>
    <phoneticPr fontId="1"/>
  </si>
  <si>
    <t>１９７５（昭５０）</t>
    <rPh sb="5" eb="6">
      <t>ショウ</t>
    </rPh>
    <phoneticPr fontId="1"/>
  </si>
  <si>
    <t>沼津工（佐藤）</t>
    <rPh sb="0" eb="2">
      <t>ヌマヅコウ</t>
    </rPh>
    <rPh sb="2" eb="3">
      <t>コウ</t>
    </rPh>
    <rPh sb="4" eb="6">
      <t>サトウ</t>
    </rPh>
    <phoneticPr fontId="1"/>
  </si>
  <si>
    <t>１９７６（昭５１）</t>
    <rPh sb="5" eb="6">
      <t>ショウ</t>
    </rPh>
    <phoneticPr fontId="1"/>
  </si>
  <si>
    <t>沼津工（鈴木）</t>
    <rPh sb="0" eb="2">
      <t>ヌマヅ</t>
    </rPh>
    <rPh sb="2" eb="3">
      <t>コウ</t>
    </rPh>
    <rPh sb="4" eb="6">
      <t>スズキ</t>
    </rPh>
    <phoneticPr fontId="1"/>
  </si>
  <si>
    <t>１９７７（昭５２）</t>
    <rPh sb="5" eb="6">
      <t>ショウ</t>
    </rPh>
    <phoneticPr fontId="1"/>
  </si>
  <si>
    <t>沼津工（杉崎）</t>
    <rPh sb="0" eb="2">
      <t>ヌマヅ</t>
    </rPh>
    <rPh sb="2" eb="3">
      <t>コウ</t>
    </rPh>
    <rPh sb="4" eb="6">
      <t>スギザキ</t>
    </rPh>
    <phoneticPr fontId="1"/>
  </si>
  <si>
    <t>１９７８（昭５３）</t>
    <rPh sb="5" eb="6">
      <t>ショウ</t>
    </rPh>
    <phoneticPr fontId="1"/>
  </si>
  <si>
    <t>１９７９（昭５４）</t>
    <rPh sb="5" eb="6">
      <t>ショウ</t>
    </rPh>
    <phoneticPr fontId="1"/>
  </si>
  <si>
    <t>１９８０（昭５５）</t>
    <rPh sb="5" eb="6">
      <t>ショウ</t>
    </rPh>
    <phoneticPr fontId="1"/>
  </si>
  <si>
    <t>三ヶ日（河辺）</t>
    <rPh sb="0" eb="3">
      <t>ミッカビ</t>
    </rPh>
    <rPh sb="4" eb="5">
      <t>カワ</t>
    </rPh>
    <rPh sb="5" eb="6">
      <t>ベ</t>
    </rPh>
    <phoneticPr fontId="1"/>
  </si>
  <si>
    <t>１９８１（昭５６）</t>
    <rPh sb="5" eb="6">
      <t>ショウ</t>
    </rPh>
    <phoneticPr fontId="1"/>
  </si>
  <si>
    <t>１９８２（昭５７）</t>
    <rPh sb="5" eb="6">
      <t>ショウ</t>
    </rPh>
    <phoneticPr fontId="1"/>
  </si>
  <si>
    <t>沼津工（森）</t>
    <rPh sb="0" eb="2">
      <t>ヌマヅ</t>
    </rPh>
    <rPh sb="2" eb="3">
      <t>コウ</t>
    </rPh>
    <rPh sb="4" eb="5">
      <t>モリ</t>
    </rPh>
    <phoneticPr fontId="1"/>
  </si>
  <si>
    <t>三ヶ日（中村）</t>
    <rPh sb="0" eb="3">
      <t>ミッカビ</t>
    </rPh>
    <rPh sb="4" eb="6">
      <t>ナカムラ</t>
    </rPh>
    <phoneticPr fontId="1"/>
  </si>
  <si>
    <t>１９８３（昭５８）</t>
    <rPh sb="5" eb="6">
      <t>ショウ</t>
    </rPh>
    <phoneticPr fontId="1"/>
  </si>
  <si>
    <t>湖　 西(清水）</t>
    <rPh sb="0" eb="4">
      <t>コサイ</t>
    </rPh>
    <rPh sb="5" eb="7">
      <t>シミズ</t>
    </rPh>
    <phoneticPr fontId="1"/>
  </si>
  <si>
    <t>１９８４（昭５９）</t>
    <rPh sb="5" eb="6">
      <t>ショウ</t>
    </rPh>
    <phoneticPr fontId="1"/>
  </si>
  <si>
    <t>湖　 西(豊田）</t>
    <rPh sb="0" eb="4">
      <t>コサイ</t>
    </rPh>
    <rPh sb="5" eb="7">
      <t>トヨダ</t>
    </rPh>
    <phoneticPr fontId="1"/>
  </si>
  <si>
    <t>三ヶ日（外山）</t>
    <rPh sb="0" eb="3">
      <t>ミッカビ</t>
    </rPh>
    <rPh sb="4" eb="6">
      <t>ソトヤマ</t>
    </rPh>
    <phoneticPr fontId="1"/>
  </si>
  <si>
    <t>１９８５（昭６０）</t>
    <rPh sb="5" eb="6">
      <t>ショウ</t>
    </rPh>
    <phoneticPr fontId="1"/>
  </si>
  <si>
    <t>湖　 西(渥美）</t>
    <rPh sb="0" eb="4">
      <t>コサイ</t>
    </rPh>
    <rPh sb="5" eb="7">
      <t>アツミ</t>
    </rPh>
    <phoneticPr fontId="1"/>
  </si>
  <si>
    <t>沼津東（高橋）</t>
    <rPh sb="0" eb="2">
      <t>ヌマヅ</t>
    </rPh>
    <rPh sb="2" eb="3">
      <t>ヒガシ</t>
    </rPh>
    <rPh sb="4" eb="6">
      <t>タカハシ</t>
    </rPh>
    <phoneticPr fontId="1"/>
  </si>
  <si>
    <t>１９８６（昭６１）</t>
    <rPh sb="5" eb="6">
      <t>ショウ</t>
    </rPh>
    <phoneticPr fontId="1"/>
  </si>
  <si>
    <t>清水南（末次）</t>
    <rPh sb="0" eb="2">
      <t>シミズ</t>
    </rPh>
    <rPh sb="2" eb="3">
      <t>ミナミ</t>
    </rPh>
    <rPh sb="4" eb="6">
      <t>スエツグ</t>
    </rPh>
    <phoneticPr fontId="1"/>
  </si>
  <si>
    <t>湖　 西（遠藤）</t>
    <rPh sb="0" eb="4">
      <t>コサイ</t>
    </rPh>
    <rPh sb="5" eb="7">
      <t>エンドウ</t>
    </rPh>
    <phoneticPr fontId="1"/>
  </si>
  <si>
    <t>１９８７（昭６２）</t>
    <rPh sb="5" eb="6">
      <t>ショウ</t>
    </rPh>
    <phoneticPr fontId="1"/>
  </si>
  <si>
    <t>浜松北（鈴木）</t>
    <rPh sb="0" eb="2">
      <t>ハママツ</t>
    </rPh>
    <rPh sb="2" eb="3">
      <t>キタ</t>
    </rPh>
    <rPh sb="4" eb="6">
      <t>スズキ</t>
    </rPh>
    <phoneticPr fontId="1"/>
  </si>
  <si>
    <t>湖　 西（岡田）</t>
    <rPh sb="0" eb="4">
      <t>コサイ</t>
    </rPh>
    <rPh sb="5" eb="7">
      <t>オカダ</t>
    </rPh>
    <phoneticPr fontId="1"/>
  </si>
  <si>
    <t>１９８８（昭６３）</t>
    <rPh sb="5" eb="6">
      <t>ショウ</t>
    </rPh>
    <phoneticPr fontId="1"/>
  </si>
  <si>
    <t>湖　 西(佐原）</t>
    <rPh sb="0" eb="4">
      <t>コサイ</t>
    </rPh>
    <rPh sb="5" eb="7">
      <t>サハラ</t>
    </rPh>
    <phoneticPr fontId="1"/>
  </si>
  <si>
    <t>浜松湖南（生駒）</t>
    <rPh sb="0" eb="2">
      <t>ハママツ</t>
    </rPh>
    <rPh sb="2" eb="3">
      <t>コ</t>
    </rPh>
    <rPh sb="3" eb="4">
      <t>ナン</t>
    </rPh>
    <rPh sb="5" eb="7">
      <t>イコマ</t>
    </rPh>
    <phoneticPr fontId="1"/>
  </si>
  <si>
    <t>１９８９（平元）</t>
    <rPh sb="5" eb="6">
      <t>ヘイ</t>
    </rPh>
    <rPh sb="6" eb="7">
      <t>ガン</t>
    </rPh>
    <phoneticPr fontId="1"/>
  </si>
  <si>
    <t>新　 居（山崎）</t>
    <rPh sb="0" eb="4">
      <t>アライ</t>
    </rPh>
    <rPh sb="5" eb="7">
      <t>ヤマザキ</t>
    </rPh>
    <phoneticPr fontId="1"/>
  </si>
  <si>
    <t>二　 俣（崎山）</t>
    <rPh sb="0" eb="4">
      <t>フタマタ</t>
    </rPh>
    <rPh sb="5" eb="6">
      <t>サキ</t>
    </rPh>
    <rPh sb="6" eb="7">
      <t>ヤマ</t>
    </rPh>
    <phoneticPr fontId="1"/>
  </si>
  <si>
    <t>１９９０（平２）</t>
    <rPh sb="5" eb="6">
      <t>ヘイ</t>
    </rPh>
    <phoneticPr fontId="1"/>
  </si>
  <si>
    <t>新　 居（杉本）</t>
    <rPh sb="0" eb="4">
      <t>アライ</t>
    </rPh>
    <rPh sb="5" eb="7">
      <t>スギモト</t>
    </rPh>
    <phoneticPr fontId="1"/>
  </si>
  <si>
    <t>１９９１（平３）</t>
    <rPh sb="5" eb="6">
      <t>ヘイ</t>
    </rPh>
    <phoneticPr fontId="1"/>
  </si>
  <si>
    <t>二　 俣（西尾）</t>
    <rPh sb="0" eb="4">
      <t>フタマタ</t>
    </rPh>
    <rPh sb="5" eb="7">
      <t>ニシオ</t>
    </rPh>
    <phoneticPr fontId="1"/>
  </si>
  <si>
    <t>１９９２（平４）</t>
    <rPh sb="5" eb="6">
      <t>ヘイ</t>
    </rPh>
    <phoneticPr fontId="1"/>
  </si>
  <si>
    <t>二　 俣（川合）</t>
    <rPh sb="0" eb="4">
      <t>フタマタ</t>
    </rPh>
    <rPh sb="5" eb="7">
      <t>カワイ</t>
    </rPh>
    <phoneticPr fontId="1"/>
  </si>
  <si>
    <t>二　 俣（内山）</t>
    <rPh sb="0" eb="4">
      <t>フタマタ</t>
    </rPh>
    <rPh sb="5" eb="7">
      <t>ウチヤマ</t>
    </rPh>
    <phoneticPr fontId="1"/>
  </si>
  <si>
    <t>１９９３（平５）</t>
    <rPh sb="5" eb="6">
      <t>ヘイ</t>
    </rPh>
    <phoneticPr fontId="1"/>
  </si>
  <si>
    <t>新　 居（村井）</t>
    <rPh sb="0" eb="4">
      <t>アライ</t>
    </rPh>
    <rPh sb="5" eb="7">
      <t>ムライ</t>
    </rPh>
    <phoneticPr fontId="1"/>
  </si>
  <si>
    <t>二　 俣（大井）</t>
    <rPh sb="0" eb="4">
      <t>フタマタ</t>
    </rPh>
    <rPh sb="5" eb="7">
      <t>オオイ</t>
    </rPh>
    <phoneticPr fontId="1"/>
  </si>
  <si>
    <t>１９９４（平６）</t>
    <rPh sb="5" eb="6">
      <t>ヘイ</t>
    </rPh>
    <phoneticPr fontId="1"/>
  </si>
  <si>
    <t>浜松西（太田）</t>
    <rPh sb="0" eb="2">
      <t>ハママツ</t>
    </rPh>
    <rPh sb="2" eb="3">
      <t>ニシ</t>
    </rPh>
    <rPh sb="4" eb="6">
      <t>オオタ</t>
    </rPh>
    <phoneticPr fontId="1"/>
  </si>
  <si>
    <t>二　 俣（松島）</t>
    <rPh sb="0" eb="4">
      <t>フタマタ</t>
    </rPh>
    <rPh sb="5" eb="7">
      <t>マツシマ</t>
    </rPh>
    <phoneticPr fontId="1"/>
  </si>
  <si>
    <t>１９９５（平７）</t>
    <rPh sb="5" eb="6">
      <t>ヘイ</t>
    </rPh>
    <phoneticPr fontId="1"/>
  </si>
  <si>
    <t>新　 居（町田）</t>
    <rPh sb="0" eb="4">
      <t>アライ</t>
    </rPh>
    <rPh sb="5" eb="7">
      <t>マチダ</t>
    </rPh>
    <phoneticPr fontId="1"/>
  </si>
  <si>
    <t>１９９６（平８）</t>
    <rPh sb="5" eb="6">
      <t>ヘイ</t>
    </rPh>
    <phoneticPr fontId="1"/>
  </si>
  <si>
    <t>二　 俣（森）</t>
    <rPh sb="0" eb="4">
      <t>フタマタ</t>
    </rPh>
    <rPh sb="5" eb="6">
      <t>モリ</t>
    </rPh>
    <phoneticPr fontId="1"/>
  </si>
  <si>
    <t>二　 俣（大石）</t>
    <rPh sb="0" eb="4">
      <t>フタマタ</t>
    </rPh>
    <rPh sb="5" eb="7">
      <t>オオイシ</t>
    </rPh>
    <phoneticPr fontId="1"/>
  </si>
  <si>
    <t>１９９７（平９）</t>
    <rPh sb="5" eb="6">
      <t>ヘイ</t>
    </rPh>
    <phoneticPr fontId="1"/>
  </si>
  <si>
    <t>沼津学園（安）</t>
    <rPh sb="0" eb="2">
      <t>ヌマヅ</t>
    </rPh>
    <rPh sb="2" eb="4">
      <t>ガクエン</t>
    </rPh>
    <rPh sb="5" eb="6">
      <t>アン</t>
    </rPh>
    <phoneticPr fontId="1"/>
  </si>
  <si>
    <t>二　 俣（鈴木）</t>
    <rPh sb="0" eb="4">
      <t>フタマタ</t>
    </rPh>
    <rPh sb="5" eb="7">
      <t>スズキ</t>
    </rPh>
    <phoneticPr fontId="1"/>
  </si>
  <si>
    <t>１９９８（平１０）</t>
    <rPh sb="5" eb="6">
      <t>ヘイ</t>
    </rPh>
    <phoneticPr fontId="1"/>
  </si>
  <si>
    <t>二　 俣（村松）</t>
    <rPh sb="0" eb="4">
      <t>フタマタ</t>
    </rPh>
    <rPh sb="5" eb="7">
      <t>ムラマツ</t>
    </rPh>
    <phoneticPr fontId="1"/>
  </si>
  <si>
    <t>１９９９（平１１）</t>
    <rPh sb="5" eb="6">
      <t>ヘイ</t>
    </rPh>
    <phoneticPr fontId="1"/>
  </si>
  <si>
    <t>新　 居（奥野）</t>
    <rPh sb="0" eb="4">
      <t>アライ</t>
    </rPh>
    <rPh sb="5" eb="6">
      <t>オク</t>
    </rPh>
    <rPh sb="6" eb="7">
      <t>ノ</t>
    </rPh>
    <phoneticPr fontId="1"/>
  </si>
  <si>
    <t>２０００（平１２）</t>
    <rPh sb="5" eb="6">
      <t>ヘイ</t>
    </rPh>
    <phoneticPr fontId="1"/>
  </si>
  <si>
    <t>二　　俣（山下）</t>
    <rPh sb="0" eb="1">
      <t>フタマタ</t>
    </rPh>
    <rPh sb="3" eb="4">
      <t>マタ</t>
    </rPh>
    <rPh sb="5" eb="7">
      <t>ヤマシタ</t>
    </rPh>
    <phoneticPr fontId="1"/>
  </si>
  <si>
    <t>二　 俣（廣田）</t>
    <rPh sb="0" eb="1">
      <t>フタマタ</t>
    </rPh>
    <rPh sb="3" eb="4">
      <t>マタ</t>
    </rPh>
    <rPh sb="5" eb="7">
      <t>ヒロタ</t>
    </rPh>
    <phoneticPr fontId="1"/>
  </si>
  <si>
    <t>舵手付ｸｫﾄﾞﾙﾌﾟﾙ</t>
    <rPh sb="0" eb="2">
      <t>ダシュ</t>
    </rPh>
    <rPh sb="2" eb="3">
      <t>ツ</t>
    </rPh>
    <phoneticPr fontId="1"/>
  </si>
  <si>
    <t>２００１（平１３）</t>
    <rPh sb="5" eb="6">
      <t>ヘイ</t>
    </rPh>
    <phoneticPr fontId="1"/>
  </si>
  <si>
    <t>２００２（平１４）</t>
    <rPh sb="5" eb="6">
      <t>ヘイ</t>
    </rPh>
    <phoneticPr fontId="1"/>
  </si>
  <si>
    <t>浜松北（横山）</t>
    <rPh sb="0" eb="2">
      <t>ハママツ</t>
    </rPh>
    <rPh sb="2" eb="3">
      <t>キタ</t>
    </rPh>
    <rPh sb="4" eb="6">
      <t>ヨコヤマ</t>
    </rPh>
    <phoneticPr fontId="1"/>
  </si>
  <si>
    <t>新　居</t>
    <rPh sb="0" eb="3">
      <t>アライ</t>
    </rPh>
    <phoneticPr fontId="1"/>
  </si>
  <si>
    <t>２００３（平１５）</t>
    <rPh sb="5" eb="6">
      <t>ヘイ</t>
    </rPh>
    <phoneticPr fontId="1"/>
  </si>
  <si>
    <t>浜松西（望月）</t>
    <rPh sb="0" eb="2">
      <t>ハママツ</t>
    </rPh>
    <rPh sb="2" eb="3">
      <t>ニシ</t>
    </rPh>
    <rPh sb="4" eb="6">
      <t>モチヅキ</t>
    </rPh>
    <phoneticPr fontId="1"/>
  </si>
  <si>
    <t>新　 居（安部）</t>
    <rPh sb="0" eb="4">
      <t>アライ</t>
    </rPh>
    <rPh sb="5" eb="7">
      <t>アベ</t>
    </rPh>
    <phoneticPr fontId="1"/>
  </si>
  <si>
    <t>２００４（平１６）</t>
    <rPh sb="5" eb="6">
      <t>ヘイ</t>
    </rPh>
    <phoneticPr fontId="1"/>
  </si>
  <si>
    <t>２００５（平１７）</t>
    <rPh sb="5" eb="6">
      <t>ヘイ</t>
    </rPh>
    <phoneticPr fontId="1"/>
  </si>
  <si>
    <t>各高校出漕クルー一覧</t>
    <rPh sb="0" eb="1">
      <t>カクコウ</t>
    </rPh>
    <rPh sb="1" eb="3">
      <t>コウコウ</t>
    </rPh>
    <rPh sb="3" eb="4">
      <t>シュツ</t>
    </rPh>
    <rPh sb="4" eb="5">
      <t>ソウ</t>
    </rPh>
    <rPh sb="8" eb="10">
      <t>イチラン</t>
    </rPh>
    <phoneticPr fontId="1"/>
  </si>
  <si>
    <t>出漕合計</t>
    <rPh sb="0" eb="1">
      <t>シュッソウ</t>
    </rPh>
    <rPh sb="1" eb="2">
      <t>ソウ</t>
    </rPh>
    <rPh sb="2" eb="4">
      <t>ゴウケイ</t>
    </rPh>
    <phoneticPr fontId="1"/>
  </si>
  <si>
    <t>競　　　漕　　　組　　　合　　　せ</t>
    <rPh sb="0" eb="5">
      <t>キョウソウ</t>
    </rPh>
    <rPh sb="8" eb="13">
      <t>クミアワ</t>
    </rPh>
    <phoneticPr fontId="1"/>
  </si>
  <si>
    <t>【男子シングルスカル】</t>
    <phoneticPr fontId="1"/>
  </si>
  <si>
    <t>予選</t>
    <rPh sb="0" eb="2">
      <t>ヨセン</t>
    </rPh>
    <phoneticPr fontId="1"/>
  </si>
  <si>
    <t>準決勝</t>
    <rPh sb="0" eb="3">
      <t>ジュンケッショウ</t>
    </rPh>
    <phoneticPr fontId="1"/>
  </si>
  <si>
    <t>クルー</t>
    <phoneticPr fontId="1"/>
  </si>
  <si>
    <t>選　　手</t>
    <rPh sb="0" eb="4">
      <t>センシュ</t>
    </rPh>
    <phoneticPr fontId="1"/>
  </si>
  <si>
    <t>レーン</t>
    <phoneticPr fontId="1"/>
  </si>
  <si>
    <t>【女子シングルスカル】</t>
    <rPh sb="1" eb="2">
      <t>オンナ</t>
    </rPh>
    <phoneticPr fontId="1"/>
  </si>
  <si>
    <t>クルー</t>
    <phoneticPr fontId="1"/>
  </si>
  <si>
    <t>レーン</t>
    <phoneticPr fontId="1"/>
  </si>
  <si>
    <t>【男子ダブルスカル】</t>
    <phoneticPr fontId="1"/>
  </si>
  <si>
    <t>クルー</t>
    <phoneticPr fontId="1"/>
  </si>
  <si>
    <t>【女子ダブルスカル】</t>
    <phoneticPr fontId="1"/>
  </si>
  <si>
    <t>【男子舵手付きクォドルプル】</t>
    <rPh sb="3" eb="5">
      <t>ダシュ</t>
    </rPh>
    <rPh sb="5" eb="6">
      <t>ツ</t>
    </rPh>
    <phoneticPr fontId="1"/>
  </si>
  <si>
    <t>【女子舵手付きクォドルプル】</t>
    <rPh sb="3" eb="5">
      <t>ダシュ</t>
    </rPh>
    <rPh sb="5" eb="6">
      <t>ツ</t>
    </rPh>
    <phoneticPr fontId="1"/>
  </si>
  <si>
    <t>ﾚｰｽ番号</t>
    <rPh sb="3" eb="5">
      <t>バンゴウ</t>
    </rPh>
    <phoneticPr fontId="1"/>
  </si>
  <si>
    <t>レーン</t>
    <phoneticPr fontId="1"/>
  </si>
  <si>
    <t>ク　ル　ー　</t>
    <phoneticPr fontId="1"/>
  </si>
  <si>
    <t>着順</t>
    <rPh sb="0" eb="2">
      <t>チャクジュン</t>
    </rPh>
    <phoneticPr fontId="1"/>
  </si>
  <si>
    <t>タイム</t>
    <phoneticPr fontId="1"/>
  </si>
  <si>
    <t>風向</t>
    <rPh sb="0" eb="2">
      <t>フウコウ</t>
    </rPh>
    <phoneticPr fontId="1"/>
  </si>
  <si>
    <t>選手</t>
    <rPh sb="0" eb="2">
      <t>センシュ</t>
    </rPh>
    <phoneticPr fontId="1"/>
  </si>
  <si>
    <t>風速</t>
    <rPh sb="0" eb="2">
      <t>フウソク</t>
    </rPh>
    <phoneticPr fontId="1"/>
  </si>
  <si>
    <t>種目・種別</t>
    <rPh sb="0" eb="2">
      <t>シュモク</t>
    </rPh>
    <rPh sb="3" eb="5">
      <t>シュベツ</t>
    </rPh>
    <phoneticPr fontId="1"/>
  </si>
  <si>
    <t>備考</t>
    <rPh sb="0" eb="2">
      <t>ビコウ</t>
    </rPh>
    <phoneticPr fontId="1"/>
  </si>
  <si>
    <t>ク　ル　ー　名</t>
    <rPh sb="6" eb="7">
      <t>メイ</t>
    </rPh>
    <phoneticPr fontId="1"/>
  </si>
  <si>
    <t>選　　　　手　　　　名　　　　簿</t>
    <rPh sb="0" eb="6">
      <t>センシュ</t>
    </rPh>
    <rPh sb="10" eb="16">
      <t>メイボ</t>
    </rPh>
    <phoneticPr fontId="1"/>
  </si>
  <si>
    <t>【男子シングルスカル】</t>
    <rPh sb="1" eb="3">
      <t>ダンシ</t>
    </rPh>
    <phoneticPr fontId="1"/>
  </si>
  <si>
    <t>クルー</t>
    <phoneticPr fontId="1"/>
  </si>
  <si>
    <t>監督</t>
    <rPh sb="0" eb="2">
      <t>カントク</t>
    </rPh>
    <phoneticPr fontId="1"/>
  </si>
  <si>
    <t>クルー</t>
    <phoneticPr fontId="1"/>
  </si>
  <si>
    <t>シート</t>
    <phoneticPr fontId="1"/>
  </si>
  <si>
    <t>氏　　名</t>
    <rPh sb="0" eb="4">
      <t>シメイ</t>
    </rPh>
    <phoneticPr fontId="1"/>
  </si>
  <si>
    <t>学年</t>
    <rPh sb="0" eb="2">
      <t>ガクネン</t>
    </rPh>
    <phoneticPr fontId="1"/>
  </si>
  <si>
    <t>Ｓ</t>
    <phoneticPr fontId="1"/>
  </si>
  <si>
    <t>クルー</t>
    <phoneticPr fontId="1"/>
  </si>
  <si>
    <t>【女子シングルスカル】</t>
    <rPh sb="1" eb="3">
      <t>ジョシ</t>
    </rPh>
    <phoneticPr fontId="1"/>
  </si>
  <si>
    <t>クルー</t>
    <phoneticPr fontId="1"/>
  </si>
  <si>
    <t>【男子ダブルスカル】</t>
    <rPh sb="1" eb="3">
      <t>ダンシ</t>
    </rPh>
    <phoneticPr fontId="1"/>
  </si>
  <si>
    <t>Ｓ</t>
    <phoneticPr fontId="1"/>
  </si>
  <si>
    <t>Ｂ</t>
    <phoneticPr fontId="1"/>
  </si>
  <si>
    <t>補欠</t>
    <rPh sb="0" eb="2">
      <t>ホケツ</t>
    </rPh>
    <phoneticPr fontId="1"/>
  </si>
  <si>
    <t>シート</t>
    <phoneticPr fontId="1"/>
  </si>
  <si>
    <t>クルー</t>
    <phoneticPr fontId="1"/>
  </si>
  <si>
    <t>Ｃ</t>
    <phoneticPr fontId="1"/>
  </si>
  <si>
    <t>フィックス</t>
    <phoneticPr fontId="1"/>
  </si>
  <si>
    <t>ｼﾝｸﾞﾙｽｶﾙ</t>
    <phoneticPr fontId="1"/>
  </si>
  <si>
    <t>ｼﾝｸﾞﾙｽｶﾙ</t>
    <phoneticPr fontId="1"/>
  </si>
  <si>
    <t>浜　　　　　　　　松　　　　　　　　市　　</t>
    <rPh sb="0" eb="1">
      <t>ハマ</t>
    </rPh>
    <rPh sb="9" eb="10">
      <t>マツ</t>
    </rPh>
    <rPh sb="18" eb="19">
      <t>シ</t>
    </rPh>
    <phoneticPr fontId="1"/>
  </si>
  <si>
    <t>セイ</t>
    <phoneticPr fontId="1"/>
  </si>
  <si>
    <t>メイ</t>
    <phoneticPr fontId="1"/>
  </si>
  <si>
    <t>　男子シングルスカル</t>
    <rPh sb="1" eb="3">
      <t>ダンシシングルスカル</t>
    </rPh>
    <phoneticPr fontId="1"/>
  </si>
  <si>
    <t>　男子シングルスカル</t>
    <rPh sb="1" eb="3">
      <t>ダン</t>
    </rPh>
    <phoneticPr fontId="1"/>
  </si>
  <si>
    <t>予選６組</t>
    <rPh sb="0" eb="2">
      <t>ヨセン</t>
    </rPh>
    <rPh sb="3" eb="4">
      <t>クミ</t>
    </rPh>
    <phoneticPr fontId="1"/>
  </si>
  <si>
    <t>男子２×</t>
    <rPh sb="0" eb="1">
      <t>ダン</t>
    </rPh>
    <rPh sb="1" eb="2">
      <t>ダンシ</t>
    </rPh>
    <phoneticPr fontId="1"/>
  </si>
  <si>
    <t>男子２×</t>
    <rPh sb="0" eb="1">
      <t>オトコ</t>
    </rPh>
    <rPh sb="1" eb="2">
      <t>ジョシ</t>
    </rPh>
    <phoneticPr fontId="1"/>
  </si>
  <si>
    <t>女子１×</t>
    <rPh sb="0" eb="2">
      <t>ジョシ１</t>
    </rPh>
    <phoneticPr fontId="1"/>
  </si>
  <si>
    <t>男子４×+</t>
    <rPh sb="0" eb="2">
      <t>ダンシ</t>
    </rPh>
    <phoneticPr fontId="1"/>
  </si>
  <si>
    <t>女子4×+</t>
    <rPh sb="0" eb="2">
      <t>ジョシ</t>
    </rPh>
    <phoneticPr fontId="1"/>
  </si>
  <si>
    <t>予選1組</t>
    <rPh sb="0" eb="2">
      <t>ヨセン</t>
    </rPh>
    <rPh sb="3" eb="4">
      <t>クミ</t>
    </rPh>
    <phoneticPr fontId="1"/>
  </si>
  <si>
    <t>男子4×＋</t>
    <rPh sb="0" eb="2">
      <t>ダンシ</t>
    </rPh>
    <phoneticPr fontId="1"/>
  </si>
  <si>
    <t>敗復１組</t>
    <rPh sb="0" eb="1">
      <t>ハイシャフッカツ</t>
    </rPh>
    <rPh sb="1" eb="2">
      <t>フク</t>
    </rPh>
    <phoneticPr fontId="1"/>
  </si>
  <si>
    <t>敗復２組</t>
    <rPh sb="0" eb="1">
      <t>ハイ</t>
    </rPh>
    <rPh sb="1" eb="2">
      <t>フク</t>
    </rPh>
    <phoneticPr fontId="1"/>
  </si>
  <si>
    <t>アガリ１</t>
    <phoneticPr fontId="1"/>
  </si>
  <si>
    <t>アガリ１</t>
    <phoneticPr fontId="1"/>
  </si>
  <si>
    <t>アガリ１</t>
    <phoneticPr fontId="1"/>
  </si>
  <si>
    <t>敗復１組</t>
    <rPh sb="0" eb="2">
      <t>ハイシャフッカツ</t>
    </rPh>
    <phoneticPr fontId="1"/>
  </si>
  <si>
    <t>女子１×</t>
    <rPh sb="0" eb="1">
      <t>オンナ</t>
    </rPh>
    <rPh sb="1" eb="2">
      <t>ダンシ</t>
    </rPh>
    <phoneticPr fontId="1"/>
  </si>
  <si>
    <t>準決勝１組</t>
    <rPh sb="0" eb="3">
      <t>ジュンケッショウ</t>
    </rPh>
    <phoneticPr fontId="1"/>
  </si>
  <si>
    <t>準決勝２組</t>
    <rPh sb="0" eb="3">
      <t>ジュn</t>
    </rPh>
    <phoneticPr fontId="1"/>
  </si>
  <si>
    <t>準決勝３組</t>
    <rPh sb="0" eb="3">
      <t>ジュ</t>
    </rPh>
    <phoneticPr fontId="1"/>
  </si>
  <si>
    <t>男子２×</t>
    <rPh sb="0" eb="2">
      <t>ダンシ２</t>
    </rPh>
    <phoneticPr fontId="1"/>
  </si>
  <si>
    <t>準決勝３組</t>
    <rPh sb="0" eb="1">
      <t>ジュン</t>
    </rPh>
    <rPh sb="1" eb="3">
      <t>ケッショウ</t>
    </rPh>
    <rPh sb="4" eb="5">
      <t>クミ</t>
    </rPh>
    <phoneticPr fontId="1"/>
  </si>
  <si>
    <t>敗復１組</t>
    <rPh sb="0" eb="1">
      <t>ハイ</t>
    </rPh>
    <rPh sb="1" eb="2">
      <t>フク</t>
    </rPh>
    <phoneticPr fontId="1"/>
  </si>
  <si>
    <t>男子１×</t>
    <rPh sb="0" eb="2">
      <t>ダンシ１</t>
    </rPh>
    <phoneticPr fontId="1"/>
  </si>
  <si>
    <t>浜松北</t>
    <rPh sb="0" eb="3">
      <t>ハママツキタ</t>
    </rPh>
    <phoneticPr fontId="1"/>
  </si>
  <si>
    <t>浜松西</t>
    <rPh sb="0" eb="3">
      <t>ハママツニシ</t>
    </rPh>
    <phoneticPr fontId="1"/>
  </si>
  <si>
    <t>浜松大平台</t>
    <rPh sb="0" eb="5">
      <t>ハママツオオヒr</t>
    </rPh>
    <phoneticPr fontId="1"/>
  </si>
  <si>
    <t>沼津東</t>
    <rPh sb="0" eb="3">
      <t>ヌマヅヒガシ</t>
    </rPh>
    <phoneticPr fontId="1"/>
  </si>
  <si>
    <t>浜松湖南</t>
    <rPh sb="0" eb="4">
      <t>ハママツコナン</t>
    </rPh>
    <phoneticPr fontId="1"/>
  </si>
  <si>
    <t>浜松北</t>
    <rPh sb="0" eb="3">
      <t>ハママツキタ</t>
    </rPh>
    <phoneticPr fontId="1"/>
  </si>
  <si>
    <t>新居</t>
    <rPh sb="0" eb="2">
      <t>アライ</t>
    </rPh>
    <phoneticPr fontId="1"/>
  </si>
  <si>
    <t>浜松北（糠谷）</t>
    <rPh sb="0" eb="3">
      <t>ハママツキタ</t>
    </rPh>
    <rPh sb="4" eb="6">
      <t>ヌカヤ</t>
    </rPh>
    <phoneticPr fontId="1"/>
  </si>
  <si>
    <t>浜松大平台</t>
    <rPh sb="0" eb="5">
      <t>ハママツオオヒラダイ</t>
    </rPh>
    <phoneticPr fontId="1"/>
  </si>
  <si>
    <t>浜松西（澤田）</t>
    <rPh sb="0" eb="3">
      <t>ハママツニシ</t>
    </rPh>
    <rPh sb="4" eb="6">
      <t>サワダ</t>
    </rPh>
    <phoneticPr fontId="1"/>
  </si>
  <si>
    <r>
      <t>区　　分　(上がり数</t>
    </r>
    <r>
      <rPr>
        <sz val="11"/>
        <rFont val="ＭＳ Ｐゴシック"/>
        <family val="3"/>
        <charset val="128"/>
      </rPr>
      <t>)</t>
    </r>
    <rPh sb="0" eb="1">
      <t>ク</t>
    </rPh>
    <rPh sb="3" eb="4">
      <t>ブン</t>
    </rPh>
    <rPh sb="6" eb="7">
      <t>ア</t>
    </rPh>
    <rPh sb="9" eb="10">
      <t>スウ</t>
    </rPh>
    <phoneticPr fontId="1"/>
  </si>
  <si>
    <t>　予選１組　(２)</t>
    <rPh sb="1" eb="3">
      <t>ヨセン</t>
    </rPh>
    <rPh sb="4" eb="5">
      <t>クミ</t>
    </rPh>
    <phoneticPr fontId="1"/>
  </si>
  <si>
    <t>　予選２組　(２)</t>
    <rPh sb="1" eb="3">
      <t>ヨセン</t>
    </rPh>
    <rPh sb="4" eb="5">
      <t>クミ</t>
    </rPh>
    <phoneticPr fontId="1"/>
  </si>
  <si>
    <t>　予選３組　(２)</t>
    <rPh sb="1" eb="3">
      <t>ヨセン</t>
    </rPh>
    <rPh sb="4" eb="5">
      <t>クミ</t>
    </rPh>
    <phoneticPr fontId="1"/>
  </si>
  <si>
    <t>　予選４組　(２)</t>
    <rPh sb="1" eb="3">
      <t>ヨセン</t>
    </rPh>
    <rPh sb="4" eb="5">
      <t>クミ</t>
    </rPh>
    <phoneticPr fontId="1"/>
  </si>
  <si>
    <t>　予選５組　(２)</t>
    <rPh sb="1" eb="3">
      <t>ヨセン</t>
    </rPh>
    <rPh sb="4" eb="5">
      <t>クミ</t>
    </rPh>
    <phoneticPr fontId="1"/>
  </si>
  <si>
    <t>シード</t>
    <phoneticPr fontId="1"/>
  </si>
  <si>
    <t>浜松北</t>
    <rPh sb="0" eb="3">
      <t>ハママツ</t>
    </rPh>
    <phoneticPr fontId="1"/>
  </si>
  <si>
    <t>２０１７（平２９）</t>
    <rPh sb="0" eb="1">
      <t>タイラ</t>
    </rPh>
    <phoneticPr fontId="1"/>
  </si>
  <si>
    <t>浜松北（船木）</t>
    <rPh sb="0" eb="3">
      <t>ハママツキタ</t>
    </rPh>
    <phoneticPr fontId="1"/>
  </si>
  <si>
    <t>浜松大平台</t>
    <rPh sb="0" eb="5">
      <t>ハママツオオヒ</t>
    </rPh>
    <phoneticPr fontId="1"/>
  </si>
  <si>
    <t>浜松西（田口）</t>
    <rPh sb="0" eb="3">
      <t>ハママツニシ</t>
    </rPh>
    <phoneticPr fontId="1"/>
  </si>
  <si>
    <t>平成２９年</t>
    <rPh sb="0" eb="5">
      <t>ヘイセイ２９ネンド</t>
    </rPh>
    <phoneticPr fontId="1"/>
  </si>
  <si>
    <t>浜松北</t>
    <rPh sb="0" eb="2">
      <t>ハママツ</t>
    </rPh>
    <rPh sb="2" eb="3">
      <t>キタ</t>
    </rPh>
    <phoneticPr fontId="1"/>
  </si>
  <si>
    <t>浜松大平台</t>
    <rPh sb="0" eb="2">
      <t>ハママツ</t>
    </rPh>
    <rPh sb="2" eb="5">
      <t>オオヒラダイ</t>
    </rPh>
    <phoneticPr fontId="1"/>
  </si>
  <si>
    <t>浜松西</t>
    <rPh sb="0" eb="2">
      <t>ハママツニシ</t>
    </rPh>
    <phoneticPr fontId="1"/>
  </si>
  <si>
    <t>沼津工
浜松湖南</t>
    <rPh sb="0" eb="2">
      <t>ヌマヅコウ</t>
    </rPh>
    <phoneticPr fontId="1"/>
  </si>
  <si>
    <t>浜松湖南</t>
    <rPh sb="0" eb="2">
      <t>ハママツコナン</t>
    </rPh>
    <phoneticPr fontId="1"/>
  </si>
  <si>
    <t>平成３０年</t>
    <phoneticPr fontId="1"/>
  </si>
  <si>
    <t>令和元年</t>
    <rPh sb="0" eb="1">
      <t>レイ</t>
    </rPh>
    <rPh sb="1" eb="2">
      <t>ワ</t>
    </rPh>
    <rPh sb="2" eb="4">
      <t>ガンネン</t>
    </rPh>
    <phoneticPr fontId="1"/>
  </si>
  <si>
    <t>浜松湖南</t>
    <rPh sb="0" eb="2">
      <t>ハママツ</t>
    </rPh>
    <rPh sb="2" eb="4">
      <t>コナン</t>
    </rPh>
    <phoneticPr fontId="1"/>
  </si>
  <si>
    <t>浜松北
浜松大平台
新居</t>
    <rPh sb="0" eb="2">
      <t>ハママツ</t>
    </rPh>
    <rPh sb="2" eb="3">
      <t>キタ</t>
    </rPh>
    <rPh sb="4" eb="6">
      <t>ハママツ</t>
    </rPh>
    <rPh sb="6" eb="7">
      <t>オオ</t>
    </rPh>
    <rPh sb="7" eb="9">
      <t>ヒラダイ</t>
    </rPh>
    <rPh sb="10" eb="12">
      <t>アライ</t>
    </rPh>
    <phoneticPr fontId="1"/>
  </si>
  <si>
    <t>浜松北</t>
    <rPh sb="0" eb="2">
      <t>ハママツ</t>
    </rPh>
    <rPh sb="2" eb="3">
      <t>キタ</t>
    </rPh>
    <phoneticPr fontId="1"/>
  </si>
  <si>
    <t>２０１８（平３０）</t>
    <phoneticPr fontId="1"/>
  </si>
  <si>
    <t>浜松大平台（鈴木）</t>
    <rPh sb="0" eb="2">
      <t>ハママツ</t>
    </rPh>
    <rPh sb="2" eb="3">
      <t>オオ</t>
    </rPh>
    <rPh sb="3" eb="5">
      <t>ヒラダイ</t>
    </rPh>
    <rPh sb="6" eb="8">
      <t>スズキ</t>
    </rPh>
    <phoneticPr fontId="1"/>
  </si>
  <si>
    <t>浜松西</t>
    <rPh sb="0" eb="2">
      <t>ハママツ</t>
    </rPh>
    <rPh sb="2" eb="3">
      <t>ニシ</t>
    </rPh>
    <phoneticPr fontId="1"/>
  </si>
  <si>
    <t>２０１９（令元）</t>
    <rPh sb="5" eb="6">
      <t>レイ</t>
    </rPh>
    <rPh sb="6" eb="7">
      <t>ガン</t>
    </rPh>
    <phoneticPr fontId="1"/>
  </si>
  <si>
    <t>　準決勝１組　(３)</t>
    <rPh sb="1" eb="4">
      <t>ジュンケッショウ</t>
    </rPh>
    <rPh sb="5" eb="6">
      <t>クミ</t>
    </rPh>
    <phoneticPr fontId="1"/>
  </si>
  <si>
    <t>　準決勝２組　(３)</t>
    <rPh sb="1" eb="4">
      <t>ジュンケッショウ</t>
    </rPh>
    <rPh sb="5" eb="6">
      <t>クミ</t>
    </rPh>
    <phoneticPr fontId="1"/>
  </si>
  <si>
    <t>予５着</t>
    <rPh sb="0" eb="1">
      <t>ヨ</t>
    </rPh>
    <rPh sb="2" eb="3">
      <t>チャク</t>
    </rPh>
    <phoneticPr fontId="1"/>
  </si>
  <si>
    <t>予１着</t>
    <rPh sb="0" eb="1">
      <t>ヨ</t>
    </rPh>
    <rPh sb="2" eb="3">
      <t>チャク</t>
    </rPh>
    <phoneticPr fontId="1"/>
  </si>
  <si>
    <t>予２着</t>
    <rPh sb="0" eb="1">
      <t>ヨ</t>
    </rPh>
    <rPh sb="2" eb="3">
      <t>チャク</t>
    </rPh>
    <phoneticPr fontId="1"/>
  </si>
  <si>
    <t>予３着</t>
    <rPh sb="0" eb="1">
      <t>ヨ</t>
    </rPh>
    <rPh sb="2" eb="3">
      <t>チャク</t>
    </rPh>
    <phoneticPr fontId="1"/>
  </si>
  <si>
    <t>予４着</t>
    <rPh sb="0" eb="1">
      <t>ヨ</t>
    </rPh>
    <rPh sb="2" eb="3">
      <t>チャク</t>
    </rPh>
    <phoneticPr fontId="1"/>
  </si>
  <si>
    <t>　予選</t>
    <rPh sb="1" eb="3">
      <t>ヨセン</t>
    </rPh>
    <phoneticPr fontId="1"/>
  </si>
  <si>
    <t>浜松湖南</t>
    <rPh sb="0" eb="4">
      <t>ハママツコナン</t>
    </rPh>
    <phoneticPr fontId="1"/>
  </si>
  <si>
    <t>浜松大平台</t>
    <rPh sb="0" eb="2">
      <t>ハママツ</t>
    </rPh>
    <rPh sb="2" eb="5">
      <t>オオヒラダイ</t>
    </rPh>
    <phoneticPr fontId="1"/>
  </si>
  <si>
    <t>浜松西</t>
    <rPh sb="0" eb="3">
      <t>ハママツニシ</t>
    </rPh>
    <phoneticPr fontId="1"/>
  </si>
  <si>
    <t>天竜（中山）</t>
    <rPh sb="0" eb="2">
      <t>テンリュウ</t>
    </rPh>
    <rPh sb="3" eb="5">
      <t>ナカヤマ</t>
    </rPh>
    <phoneticPr fontId="1"/>
  </si>
  <si>
    <t>２０２０（令２）</t>
    <rPh sb="5" eb="6">
      <t>レイ</t>
    </rPh>
    <phoneticPr fontId="1"/>
  </si>
  <si>
    <t>新型コロナウイルスの蔓延により中止</t>
    <rPh sb="0" eb="2">
      <t>シンガタ</t>
    </rPh>
    <rPh sb="10" eb="12">
      <t>マンエン</t>
    </rPh>
    <rPh sb="15" eb="17">
      <t>チュウシ</t>
    </rPh>
    <phoneticPr fontId="1"/>
  </si>
  <si>
    <t>各クルーは、健康管理に十分注意を払い、万全の状態でレースに参加できるよう心がけること。</t>
    <rPh sb="0" eb="1">
      <t>カク</t>
    </rPh>
    <rPh sb="6" eb="8">
      <t>ケンコウ</t>
    </rPh>
    <rPh sb="8" eb="10">
      <t>カンリ</t>
    </rPh>
    <rPh sb="11" eb="13">
      <t>ジュウブン</t>
    </rPh>
    <rPh sb="13" eb="15">
      <t>チュウイ</t>
    </rPh>
    <rPh sb="16" eb="17">
      <t>ハラ</t>
    </rPh>
    <rPh sb="19" eb="21">
      <t>バンゼン</t>
    </rPh>
    <rPh sb="22" eb="24">
      <t>ジョウタイ</t>
    </rPh>
    <rPh sb="29" eb="31">
      <t>サンカ</t>
    </rPh>
    <rPh sb="36" eb="37">
      <t>ココロ</t>
    </rPh>
    <phoneticPr fontId="1"/>
  </si>
  <si>
    <t>各クルーは、事故のないよう常に安全確保に努め、安全第一で行動すること。</t>
    <rPh sb="0" eb="1">
      <t>カク</t>
    </rPh>
    <rPh sb="6" eb="8">
      <t>ジコ</t>
    </rPh>
    <rPh sb="13" eb="14">
      <t>ツネ</t>
    </rPh>
    <rPh sb="15" eb="17">
      <t>アンゼン</t>
    </rPh>
    <rPh sb="17" eb="19">
      <t>カクホ</t>
    </rPh>
    <rPh sb="20" eb="21">
      <t>ツト</t>
    </rPh>
    <rPh sb="23" eb="25">
      <t>アンゼン</t>
    </rPh>
    <rPh sb="25" eb="27">
      <t>ダイイチ</t>
    </rPh>
    <rPh sb="28" eb="30">
      <t>コウドウ</t>
    </rPh>
    <phoneticPr fontId="1"/>
  </si>
  <si>
    <t>メンバー変更・棄権については、レース１時間前までに文章で競漕委員会に届けること。</t>
    <phoneticPr fontId="1"/>
  </si>
  <si>
    <t>（競漕規則第27,28,29,31条）</t>
    <phoneticPr fontId="1"/>
  </si>
  <si>
    <t>舵手の計量は、出漕日かつ出漕種目毎に各自の最初のレースの2時間前から1時間前までに</t>
    <rPh sb="7" eb="9">
      <t>シュッソウ</t>
    </rPh>
    <rPh sb="9" eb="10">
      <t>ビ</t>
    </rPh>
    <rPh sb="12" eb="14">
      <t>シュッソウ</t>
    </rPh>
    <rPh sb="14" eb="16">
      <t>シュモク</t>
    </rPh>
    <rPh sb="16" eb="17">
      <t>マイ</t>
    </rPh>
    <rPh sb="18" eb="20">
      <t>カクジ</t>
    </rPh>
    <rPh sb="21" eb="23">
      <t>サイショ</t>
    </rPh>
    <phoneticPr fontId="1"/>
  </si>
  <si>
    <t>競漕委員会があらかじめ指定した場所ですませること。女子種目は50㎏・男子種目は55㎏以上。</t>
    <rPh sb="0" eb="2">
      <t>キョウソウ</t>
    </rPh>
    <rPh sb="2" eb="5">
      <t>イインカイ</t>
    </rPh>
    <rPh sb="11" eb="13">
      <t>シテイ</t>
    </rPh>
    <rPh sb="15" eb="17">
      <t>バショ</t>
    </rPh>
    <rPh sb="27" eb="29">
      <t>シュモク</t>
    </rPh>
    <rPh sb="36" eb="38">
      <t>シュモク</t>
    </rPh>
    <phoneticPr fontId="1"/>
  </si>
  <si>
    <t>満たない者については、最大限15㎏までデッドウエイトをもたねばならない。</t>
    <phoneticPr fontId="1"/>
  </si>
  <si>
    <t>定められた時間内に計量を受けなかったクルーは失格となる。</t>
    <rPh sb="0" eb="1">
      <t>サダ</t>
    </rPh>
    <rPh sb="5" eb="7">
      <t>ジカン</t>
    </rPh>
    <rPh sb="7" eb="8">
      <t>ナイ</t>
    </rPh>
    <rPh sb="9" eb="11">
      <t>ケイリョウ</t>
    </rPh>
    <rPh sb="12" eb="13">
      <t>ウ</t>
    </rPh>
    <rPh sb="22" eb="24">
      <t>シッカク</t>
    </rPh>
    <phoneticPr fontId="1"/>
  </si>
  <si>
    <t>（競漕規則第25条）</t>
    <phoneticPr fontId="1"/>
  </si>
  <si>
    <t>男子種目は男子舵手、女子種目は女子舵手とする。</t>
    <rPh sb="0" eb="2">
      <t>ダンシ</t>
    </rPh>
    <rPh sb="2" eb="4">
      <t>シュモク</t>
    </rPh>
    <rPh sb="5" eb="7">
      <t>ダンシ</t>
    </rPh>
    <rPh sb="7" eb="9">
      <t>ダシュ</t>
    </rPh>
    <rPh sb="10" eb="12">
      <t>ジョシ</t>
    </rPh>
    <rPh sb="12" eb="14">
      <t>シュモク</t>
    </rPh>
    <rPh sb="15" eb="17">
      <t>ジョシ</t>
    </rPh>
    <rPh sb="17" eb="19">
      <t>ダシュ</t>
    </rPh>
    <phoneticPr fontId="1"/>
  </si>
  <si>
    <t>（大会要項）</t>
    <rPh sb="1" eb="3">
      <t>タイカイ</t>
    </rPh>
    <rPh sb="3" eb="5">
      <t>ヨウコウ</t>
    </rPh>
    <phoneticPr fontId="1"/>
  </si>
  <si>
    <t>クルーは出漕に際して統一したユニフォームを用いること。</t>
    <phoneticPr fontId="1"/>
  </si>
  <si>
    <t>アンダーシャツ、タイツ等も統一すること。帽子・はちまきについては、クルー内の選手毎に自由だが、</t>
    <phoneticPr fontId="1"/>
  </si>
  <si>
    <t>着用する選手については必ず統一したものを着用すること。</t>
    <rPh sb="0" eb="2">
      <t>チャクヨウ</t>
    </rPh>
    <rPh sb="4" eb="6">
      <t>センシュ</t>
    </rPh>
    <rPh sb="11" eb="12">
      <t>カナラ</t>
    </rPh>
    <rPh sb="13" eb="15">
      <t>トウイツ</t>
    </rPh>
    <phoneticPr fontId="1"/>
  </si>
  <si>
    <t>（競漕規則第30条）</t>
    <phoneticPr fontId="1"/>
  </si>
  <si>
    <t>レース中、回漕するクルーは競漕水域の外側で、レースの100ｍ手前からレース艇が通過するまで</t>
    <rPh sb="3" eb="4">
      <t>チュウ</t>
    </rPh>
    <rPh sb="37" eb="38">
      <t>テイ</t>
    </rPh>
    <phoneticPr fontId="1"/>
  </si>
  <si>
    <t>停止していなければならない。これに違反したクルーにはイエローカードが与えられる。</t>
    <rPh sb="0" eb="2">
      <t>テイシ</t>
    </rPh>
    <phoneticPr fontId="1"/>
  </si>
  <si>
    <t>（競漕規則第35条細則、大会要項）</t>
    <rPh sb="9" eb="11">
      <t>サイソク</t>
    </rPh>
    <rPh sb="12" eb="14">
      <t>タイカイ</t>
    </rPh>
    <rPh sb="14" eb="16">
      <t>ヨウコウ</t>
    </rPh>
    <phoneticPr fontId="1"/>
  </si>
  <si>
    <t>クルーは、発艇（スタート）定刻２分前までにスタート位置に着かなければならない。</t>
    <rPh sb="25" eb="27">
      <t>イチ</t>
    </rPh>
    <phoneticPr fontId="1"/>
  </si>
  <si>
    <t>これに違反したクルーは、発艇員よりイエローカードを与えられる。</t>
    <rPh sb="3" eb="5">
      <t>イハン</t>
    </rPh>
    <rPh sb="12" eb="13">
      <t>ハツ</t>
    </rPh>
    <rPh sb="13" eb="14">
      <t>テイ</t>
    </rPh>
    <rPh sb="14" eb="15">
      <t>イン</t>
    </rPh>
    <rPh sb="25" eb="26">
      <t>アタ</t>
    </rPh>
    <phoneticPr fontId="1"/>
  </si>
  <si>
    <t>（競漕規則第38条）</t>
    <phoneticPr fontId="1"/>
  </si>
  <si>
    <t>コースに入る際は、発艇員の呼込み後に入ること。</t>
    <rPh sb="13" eb="14">
      <t>ヨ</t>
    </rPh>
    <rPh sb="14" eb="15">
      <t>コ</t>
    </rPh>
    <phoneticPr fontId="1"/>
  </si>
  <si>
    <t>（競漕規則第36条）</t>
    <phoneticPr fontId="1"/>
  </si>
  <si>
    <t>艇の故障等の事態が生じて間に合わない恐れがある場合は、必ず最寄りの審判員に申し出ること。</t>
    <rPh sb="0" eb="1">
      <t>テイ</t>
    </rPh>
    <rPh sb="2" eb="4">
      <t>コショウ</t>
    </rPh>
    <rPh sb="4" eb="5">
      <t>トウ</t>
    </rPh>
    <rPh sb="6" eb="8">
      <t>ジタイ</t>
    </rPh>
    <rPh sb="9" eb="10">
      <t>ショウ</t>
    </rPh>
    <rPh sb="12" eb="13">
      <t>マ</t>
    </rPh>
    <rPh sb="14" eb="15">
      <t>ア</t>
    </rPh>
    <rPh sb="18" eb="19">
      <t>オソ</t>
    </rPh>
    <rPh sb="23" eb="25">
      <t>バアイ</t>
    </rPh>
    <rPh sb="27" eb="28">
      <t>カナラ</t>
    </rPh>
    <rPh sb="29" eb="31">
      <t>モヨ</t>
    </rPh>
    <rPh sb="33" eb="36">
      <t>シンパンイン</t>
    </rPh>
    <rPh sb="37" eb="38">
      <t>モウ</t>
    </rPh>
    <rPh sb="39" eb="40">
      <t>デ</t>
    </rPh>
    <phoneticPr fontId="1"/>
  </si>
  <si>
    <t>発艇について　　　「ツー　ミニッツ」→クルー名の呼称→「アテンション」→発艇旗をあげ→</t>
    <phoneticPr fontId="1"/>
  </si>
  <si>
    <t>「ゴー」の発艇号令を発すると同時に赤旗を振り下ろす。</t>
    <phoneticPr fontId="1"/>
  </si>
  <si>
    <t>（競漕規則第39条）</t>
    <phoneticPr fontId="1"/>
  </si>
  <si>
    <t>レース中、各クルーは自己のレーンを漕行しなれけばならない。他のレーンを侵害し、接触または</t>
    <rPh sb="17" eb="18">
      <t>ソウ</t>
    </rPh>
    <rPh sb="18" eb="19">
      <t>ギョウ</t>
    </rPh>
    <rPh sb="39" eb="41">
      <t>セッショク</t>
    </rPh>
    <phoneticPr fontId="1"/>
  </si>
  <si>
    <t>妨害をしてはならない。</t>
    <rPh sb="0" eb="2">
      <t>ボウガイ</t>
    </rPh>
    <phoneticPr fontId="1"/>
  </si>
  <si>
    <t>（競漕規則第44条）</t>
    <phoneticPr fontId="1"/>
  </si>
  <si>
    <t>主審は、他艇を妨害する危険のある場合、または接触・衝突を起こす危険のある場合には、</t>
    <rPh sb="25" eb="27">
      <t>ショウトツ</t>
    </rPh>
    <rPh sb="28" eb="29">
      <t>オ</t>
    </rPh>
    <phoneticPr fontId="1"/>
  </si>
  <si>
    <t>警告を発することがある。</t>
    <phoneticPr fontId="1"/>
  </si>
  <si>
    <t>いかなるクルーも定員を欠いて競漕に参加することはできない。舵手付きクォドルプルのコックスを</t>
    <phoneticPr fontId="1"/>
  </si>
  <si>
    <t>欠いてフィニッシュラインに到達したクルーは失格となる。</t>
    <rPh sb="13" eb="15">
      <t>トウタツ</t>
    </rPh>
    <rPh sb="21" eb="23">
      <t>シッカク</t>
    </rPh>
    <phoneticPr fontId="1"/>
  </si>
  <si>
    <t>（競漕規則第57条）</t>
    <phoneticPr fontId="1"/>
  </si>
  <si>
    <t>レースに関する、クルーから審判に対しての異議申立は、当該審判（第一段階）、</t>
    <rPh sb="31" eb="32">
      <t>ダイ</t>
    </rPh>
    <rPh sb="32" eb="33">
      <t>イチ</t>
    </rPh>
    <rPh sb="33" eb="35">
      <t>ダンカイ</t>
    </rPh>
    <phoneticPr fontId="1"/>
  </si>
  <si>
    <t>不服審査委員会（第二段階）、裁定委員会（第三段階）の順とする。</t>
    <rPh sb="14" eb="16">
      <t>サイテイ</t>
    </rPh>
    <rPh sb="16" eb="19">
      <t>イインカイ</t>
    </rPh>
    <rPh sb="20" eb="21">
      <t>ダイ</t>
    </rPh>
    <rPh sb="21" eb="22">
      <t>サン</t>
    </rPh>
    <rPh sb="22" eb="24">
      <t>ダンカイ</t>
    </rPh>
    <rPh sb="26" eb="27">
      <t>ジュン</t>
    </rPh>
    <phoneticPr fontId="1"/>
  </si>
  <si>
    <t>（競漕規則第74条）</t>
    <phoneticPr fontId="1"/>
  </si>
  <si>
    <t>イエローカードが与えられるケース</t>
    <phoneticPr fontId="1"/>
  </si>
  <si>
    <t>・航行（トラフィック）ルールに違反した場合 《航行ルール図参照》</t>
    <rPh sb="19" eb="21">
      <t>バアイ</t>
    </rPh>
    <phoneticPr fontId="1"/>
  </si>
  <si>
    <t>（競漕規則第35条）</t>
    <phoneticPr fontId="1"/>
  </si>
  <si>
    <t>・ レース中、回漕クルーは競漕水域の外側でレースの100メートル手前からレース艇が通過するまで</t>
    <rPh sb="5" eb="6">
      <t>チュウ</t>
    </rPh>
    <rPh sb="7" eb="9">
      <t>カイソウ</t>
    </rPh>
    <rPh sb="13" eb="15">
      <t>キョウソウ</t>
    </rPh>
    <rPh sb="15" eb="17">
      <t>スイイキ</t>
    </rPh>
    <rPh sb="18" eb="20">
      <t>ソトガワ</t>
    </rPh>
    <rPh sb="32" eb="34">
      <t>テマエ</t>
    </rPh>
    <rPh sb="39" eb="40">
      <t>テイ</t>
    </rPh>
    <rPh sb="41" eb="43">
      <t>ツウカ</t>
    </rPh>
    <phoneticPr fontId="1"/>
  </si>
  <si>
    <t xml:space="preserve"> 停止していないとき</t>
    <rPh sb="1" eb="3">
      <t>テイシ</t>
    </rPh>
    <phoneticPr fontId="1"/>
  </si>
  <si>
    <t>・発艇（スタート）定刻２分前に、所定のスタート位置に着くことができない場合</t>
    <rPh sb="9" eb="11">
      <t>テイコク</t>
    </rPh>
    <rPh sb="16" eb="18">
      <t>ショテイ</t>
    </rPh>
    <rPh sb="26" eb="27">
      <t>ツ</t>
    </rPh>
    <rPh sb="35" eb="37">
      <t>バアイ</t>
    </rPh>
    <phoneticPr fontId="1"/>
  </si>
  <si>
    <t>・フォルススタートをした場合</t>
    <rPh sb="12" eb="14">
      <t>バアイ</t>
    </rPh>
    <phoneticPr fontId="1"/>
  </si>
  <si>
    <t>（競漕規則第40条）</t>
    <phoneticPr fontId="1"/>
  </si>
  <si>
    <t>・正常でないスタートの原因を引き起こした場合</t>
    <rPh sb="1" eb="3">
      <t>セイジョウ</t>
    </rPh>
    <rPh sb="11" eb="13">
      <t>ゲンイン</t>
    </rPh>
    <rPh sb="14" eb="15">
      <t>ヒ</t>
    </rPh>
    <rPh sb="16" eb="17">
      <t>オ</t>
    </rPh>
    <rPh sb="20" eb="22">
      <t>バアイ</t>
    </rPh>
    <phoneticPr fontId="1"/>
  </si>
  <si>
    <t>（競漕規則第41条）</t>
    <phoneticPr fontId="1"/>
  </si>
  <si>
    <t>なお、レース終了後の回漕中にイエローカードを受けた場合、そのイエローカードは、次のラウンドに</t>
    <rPh sb="6" eb="9">
      <t>シュウリョウゴ</t>
    </rPh>
    <rPh sb="10" eb="13">
      <t>カイソウチュウ</t>
    </rPh>
    <rPh sb="22" eb="23">
      <t>ウ</t>
    </rPh>
    <rPh sb="25" eb="27">
      <t>バアイ</t>
    </rPh>
    <phoneticPr fontId="1"/>
  </si>
  <si>
    <t>持ち越される。</t>
  </si>
  <si>
    <t>レッドカード（除外）が与えられるケース</t>
    <rPh sb="7" eb="9">
      <t>ジョガイ</t>
    </rPh>
    <rPh sb="11" eb="12">
      <t>アタ</t>
    </rPh>
    <phoneticPr fontId="1"/>
  </si>
  <si>
    <t>・同一ラウンド内で2回のイエローカードを受けた場合</t>
    <rPh sb="1" eb="3">
      <t>ドウイツ</t>
    </rPh>
    <rPh sb="7" eb="8">
      <t>ナイ</t>
    </rPh>
    <rPh sb="10" eb="11">
      <t>カイ</t>
    </rPh>
    <rPh sb="20" eb="21">
      <t>ウ</t>
    </rPh>
    <rPh sb="23" eb="25">
      <t>バアイ</t>
    </rPh>
    <phoneticPr fontId="1"/>
  </si>
  <si>
    <t>（競漕規則第20条）</t>
    <phoneticPr fontId="1"/>
  </si>
  <si>
    <t>・デッドウェイトを携行しないまま出漕した場合</t>
    <rPh sb="9" eb="11">
      <t>ケイコウ</t>
    </rPh>
    <rPh sb="16" eb="18">
      <t>シュッソウ</t>
    </rPh>
    <rPh sb="20" eb="22">
      <t>バアイ</t>
    </rPh>
    <phoneticPr fontId="1"/>
  </si>
  <si>
    <t>・無断で発艇（スタート）時刻に遅れ、レースに参加しなかった場合（放棄）</t>
    <rPh sb="1" eb="3">
      <t>ムダン</t>
    </rPh>
    <rPh sb="4" eb="5">
      <t>ハツ</t>
    </rPh>
    <rPh sb="5" eb="6">
      <t>テイ</t>
    </rPh>
    <rPh sb="12" eb="14">
      <t>ジコク</t>
    </rPh>
    <rPh sb="15" eb="16">
      <t>オク</t>
    </rPh>
    <rPh sb="22" eb="24">
      <t>サンカ</t>
    </rPh>
    <rPh sb="29" eb="31">
      <t>バアイ</t>
    </rPh>
    <rPh sb="32" eb="34">
      <t>ホウキ</t>
    </rPh>
    <phoneticPr fontId="1"/>
  </si>
  <si>
    <t>・同じレースで２度のフォルススタートをした場合</t>
    <rPh sb="1" eb="2">
      <t>オナ</t>
    </rPh>
    <rPh sb="8" eb="9">
      <t>ド</t>
    </rPh>
    <rPh sb="21" eb="23">
      <t>バアイ</t>
    </rPh>
    <phoneticPr fontId="1"/>
  </si>
  <si>
    <t>・その他重大なルール違反があった場合</t>
    <rPh sb="3" eb="4">
      <t>タ</t>
    </rPh>
    <rPh sb="4" eb="6">
      <t>ジュウダイ</t>
    </rPh>
    <rPh sb="10" eb="12">
      <t>イハン</t>
    </rPh>
    <rPh sb="16" eb="18">
      <t>バアイ</t>
    </rPh>
    <phoneticPr fontId="1"/>
  </si>
  <si>
    <t>予選においてレッドカードを受けたクルーの扱いについて</t>
    <rPh sb="0" eb="2">
      <t>ヨセン</t>
    </rPh>
    <rPh sb="13" eb="14">
      <t>ウ</t>
    </rPh>
    <rPh sb="20" eb="21">
      <t>アツカ</t>
    </rPh>
    <phoneticPr fontId="7"/>
  </si>
  <si>
    <t>　ア　同一ラウンド内で２回のイエローカードを受けたことによりレッドカードを受けたクルーは、</t>
    <rPh sb="3" eb="5">
      <t>ドウイツ</t>
    </rPh>
    <rPh sb="9" eb="10">
      <t>ナイ</t>
    </rPh>
    <rPh sb="12" eb="13">
      <t>カイ</t>
    </rPh>
    <rPh sb="22" eb="23">
      <t>ウ</t>
    </rPh>
    <phoneticPr fontId="7"/>
  </si>
  <si>
    <t>　　次のラウンド（敗者復活戦）に出漕させる。</t>
    <rPh sb="2" eb="3">
      <t>ツギ</t>
    </rPh>
    <rPh sb="9" eb="11">
      <t>ハイシャ</t>
    </rPh>
    <rPh sb="11" eb="14">
      <t>フッカツセン</t>
    </rPh>
    <rPh sb="16" eb="18">
      <t>シュッソウ</t>
    </rPh>
    <phoneticPr fontId="7"/>
  </si>
  <si>
    <t>　イ　無断で発艇（スタート）時刻に遅れ、レースに参加しなかった（放棄）ことによりレッドカードを受けた</t>
    <rPh sb="3" eb="5">
      <t>ムダン</t>
    </rPh>
    <rPh sb="6" eb="7">
      <t>ハッ</t>
    </rPh>
    <rPh sb="7" eb="8">
      <t>テイ</t>
    </rPh>
    <rPh sb="14" eb="16">
      <t>ジコク</t>
    </rPh>
    <rPh sb="17" eb="18">
      <t>オク</t>
    </rPh>
    <rPh sb="24" eb="26">
      <t>サンカ</t>
    </rPh>
    <rPh sb="32" eb="34">
      <t>ホウキ</t>
    </rPh>
    <phoneticPr fontId="7"/>
  </si>
  <si>
    <t>　　クルーは、次のラウンドに出漕させない。</t>
    <rPh sb="7" eb="8">
      <t>ツギ</t>
    </rPh>
    <phoneticPr fontId="7"/>
  </si>
  <si>
    <t>　ウ　その他重大なルール違反がありレッドカードを受けたクルーは次のラウンドに出漕させない。</t>
    <rPh sb="5" eb="6">
      <t>タ</t>
    </rPh>
    <rPh sb="6" eb="8">
      <t>ジュウダイ</t>
    </rPh>
    <rPh sb="12" eb="14">
      <t>イハン</t>
    </rPh>
    <rPh sb="24" eb="25">
      <t>ウ</t>
    </rPh>
    <rPh sb="31" eb="32">
      <t>ツギ</t>
    </rPh>
    <phoneticPr fontId="7"/>
  </si>
  <si>
    <t>令和２年</t>
    <rPh sb="0" eb="1">
      <t>レイ</t>
    </rPh>
    <rPh sb="1" eb="2">
      <t>ワ</t>
    </rPh>
    <rPh sb="3" eb="4">
      <t>ネン</t>
    </rPh>
    <phoneticPr fontId="1"/>
  </si>
  <si>
    <t>令和３年</t>
    <rPh sb="0" eb="1">
      <t>レイ</t>
    </rPh>
    <rPh sb="1" eb="2">
      <t>ワ</t>
    </rPh>
    <rPh sb="3" eb="4">
      <t>ネン</t>
    </rPh>
    <phoneticPr fontId="1"/>
  </si>
  <si>
    <t>新型コロナウイルスにより大会中止</t>
    <rPh sb="0" eb="2">
      <t>シンガタ</t>
    </rPh>
    <rPh sb="12" eb="14">
      <t>タイカイ</t>
    </rPh>
    <rPh sb="14" eb="16">
      <t>チュウシ</t>
    </rPh>
    <phoneticPr fontId="1"/>
  </si>
  <si>
    <t>ＢＨ</t>
    <phoneticPr fontId="1"/>
  </si>
  <si>
    <t>記録</t>
    <rPh sb="0" eb="2">
      <t>キロク</t>
    </rPh>
    <phoneticPr fontId="1"/>
  </si>
  <si>
    <t>計18名</t>
    <rPh sb="0" eb="1">
      <t>ケイ</t>
    </rPh>
    <rPh sb="3" eb="4">
      <t>メイ</t>
    </rPh>
    <phoneticPr fontId="1"/>
  </si>
  <si>
    <t>２０２１（令３）</t>
    <rPh sb="5" eb="6">
      <t>レイ</t>
    </rPh>
    <phoneticPr fontId="1"/>
  </si>
  <si>
    <t>浜松北（原田）</t>
    <rPh sb="0" eb="2">
      <t>ハママツ</t>
    </rPh>
    <rPh sb="2" eb="3">
      <t>キタ</t>
    </rPh>
    <rPh sb="4" eb="6">
      <t>ハラダ</t>
    </rPh>
    <phoneticPr fontId="1"/>
  </si>
  <si>
    <t>浜松湖南（松葉）</t>
    <rPh sb="0" eb="4">
      <t>ハママツコナン</t>
    </rPh>
    <rPh sb="5" eb="7">
      <t>マツバ</t>
    </rPh>
    <phoneticPr fontId="1"/>
  </si>
  <si>
    <t>２０２２（令４）</t>
    <rPh sb="5" eb="6">
      <t>レイ</t>
    </rPh>
    <phoneticPr fontId="1"/>
  </si>
  <si>
    <t>大橋</t>
    <rPh sb="0" eb="2">
      <t>オオハシ</t>
    </rPh>
    <phoneticPr fontId="4"/>
  </si>
  <si>
    <t>オオハシ</t>
  </si>
  <si>
    <t>タイト</t>
  </si>
  <si>
    <t>鈴木</t>
    <rPh sb="0" eb="2">
      <t>スズキ</t>
    </rPh>
    <phoneticPr fontId="4"/>
  </si>
  <si>
    <t>スズキ</t>
  </si>
  <si>
    <t>シミズ</t>
  </si>
  <si>
    <t>ソウマ</t>
  </si>
  <si>
    <t>オカノ</t>
  </si>
  <si>
    <t>ミト</t>
  </si>
  <si>
    <t>アオシマ</t>
  </si>
  <si>
    <t>タクミ</t>
  </si>
  <si>
    <t>蓑部</t>
    <rPh sb="0" eb="2">
      <t>ミノベ</t>
    </rPh>
    <phoneticPr fontId="6"/>
  </si>
  <si>
    <t>匠之介</t>
    <rPh sb="0" eb="1">
      <t>タクミ</t>
    </rPh>
    <rPh sb="1" eb="3">
      <t>ノスケ</t>
    </rPh>
    <phoneticPr fontId="6"/>
  </si>
  <si>
    <t>ミノベ</t>
  </si>
  <si>
    <t>ショウノスケ</t>
  </si>
  <si>
    <t>アツミ</t>
  </si>
  <si>
    <t>トモヤ</t>
  </si>
  <si>
    <t>ヨネザワ</t>
  </si>
  <si>
    <t>スズト</t>
  </si>
  <si>
    <t>ナイトウ</t>
  </si>
  <si>
    <t>ヨウヘイ</t>
  </si>
  <si>
    <t>石田</t>
    <rPh sb="0" eb="2">
      <t>イシダ</t>
    </rPh>
    <phoneticPr fontId="4"/>
  </si>
  <si>
    <t>覚士</t>
    <rPh sb="0" eb="1">
      <t>ガク</t>
    </rPh>
    <rPh sb="1" eb="2">
      <t>シ</t>
    </rPh>
    <phoneticPr fontId="4"/>
  </si>
  <si>
    <t>守屋</t>
    <rPh sb="0" eb="2">
      <t>モリヤ</t>
    </rPh>
    <phoneticPr fontId="4"/>
  </si>
  <si>
    <t>拓人</t>
    <rPh sb="0" eb="2">
      <t>タクト</t>
    </rPh>
    <phoneticPr fontId="4"/>
  </si>
  <si>
    <t>中村</t>
    <rPh sb="0" eb="2">
      <t>ナカムラ</t>
    </rPh>
    <phoneticPr fontId="4"/>
  </si>
  <si>
    <t>晟也</t>
  </si>
  <si>
    <t>垣田</t>
    <rPh sb="0" eb="2">
      <t>カキタ</t>
    </rPh>
    <phoneticPr fontId="4"/>
  </si>
  <si>
    <t>稜空</t>
    <rPh sb="0" eb="1">
      <t>リョウ</t>
    </rPh>
    <rPh sb="1" eb="2">
      <t>ソラ</t>
    </rPh>
    <phoneticPr fontId="4"/>
  </si>
  <si>
    <t>辻岡</t>
    <rPh sb="0" eb="2">
      <t>ツジオカ</t>
    </rPh>
    <phoneticPr fontId="4"/>
  </si>
  <si>
    <t>大門</t>
    <rPh sb="0" eb="2">
      <t>ダイモン</t>
    </rPh>
    <phoneticPr fontId="4"/>
  </si>
  <si>
    <t>弥月</t>
    <rPh sb="0" eb="1">
      <t>ミ</t>
    </rPh>
    <rPh sb="1" eb="2">
      <t>ツキ</t>
    </rPh>
    <phoneticPr fontId="4"/>
  </si>
  <si>
    <t>内山</t>
    <rPh sb="0" eb="2">
      <t>ウチヤマ</t>
    </rPh>
    <phoneticPr fontId="4"/>
  </si>
  <si>
    <t>夢大</t>
    <rPh sb="0" eb="1">
      <t>ユメ</t>
    </rPh>
    <rPh sb="1" eb="2">
      <t>オオ</t>
    </rPh>
    <phoneticPr fontId="4"/>
  </si>
  <si>
    <t>ウチヤマ</t>
  </si>
  <si>
    <t>ユウダイ</t>
  </si>
  <si>
    <t>長谷川</t>
    <rPh sb="0" eb="3">
      <t>ハセガワ</t>
    </rPh>
    <phoneticPr fontId="4"/>
  </si>
  <si>
    <t>袴田</t>
    <rPh sb="0" eb="2">
      <t>ハカマタ</t>
    </rPh>
    <phoneticPr fontId="4"/>
  </si>
  <si>
    <t>小野</t>
    <rPh sb="0" eb="2">
      <t>オノ</t>
    </rPh>
    <phoneticPr fontId="6"/>
  </si>
  <si>
    <t>志穂子</t>
    <rPh sb="0" eb="3">
      <t>シホコ</t>
    </rPh>
    <phoneticPr fontId="6"/>
  </si>
  <si>
    <t>西村</t>
    <rPh sb="0" eb="2">
      <t>ニシムラ</t>
    </rPh>
    <phoneticPr fontId="6"/>
  </si>
  <si>
    <t>倉田</t>
    <rPh sb="0" eb="2">
      <t>クラタ</t>
    </rPh>
    <phoneticPr fontId="6"/>
  </si>
  <si>
    <t>光希</t>
    <rPh sb="0" eb="1">
      <t>ヒカリ</t>
    </rPh>
    <rPh sb="1" eb="2">
      <t>キ</t>
    </rPh>
    <phoneticPr fontId="6"/>
  </si>
  <si>
    <t>原田</t>
    <rPh sb="0" eb="2">
      <t>ハラダ</t>
    </rPh>
    <phoneticPr fontId="6"/>
  </si>
  <si>
    <t>亜美</t>
    <rPh sb="0" eb="2">
      <t>アミ</t>
    </rPh>
    <phoneticPr fontId="6"/>
  </si>
  <si>
    <t>髙村</t>
    <rPh sb="0" eb="2">
      <t>タカムラ</t>
    </rPh>
    <phoneticPr fontId="4"/>
  </si>
  <si>
    <t>山崎</t>
    <rPh sb="0" eb="2">
      <t>ヤマサキ</t>
    </rPh>
    <phoneticPr fontId="18"/>
  </si>
  <si>
    <t>凌生</t>
    <rPh sb="0" eb="1">
      <t>リョウ</t>
    </rPh>
    <rPh sb="1" eb="2">
      <t>セイ</t>
    </rPh>
    <phoneticPr fontId="18"/>
  </si>
  <si>
    <t>大西</t>
    <rPh sb="0" eb="2">
      <t>オオニシ</t>
    </rPh>
    <phoneticPr fontId="4"/>
  </si>
  <si>
    <t>浩介</t>
    <rPh sb="0" eb="2">
      <t>コウスケ</t>
    </rPh>
    <phoneticPr fontId="4"/>
  </si>
  <si>
    <t>内藤</t>
    <rPh sb="0" eb="2">
      <t>ナイトウ</t>
    </rPh>
    <phoneticPr fontId="4"/>
  </si>
  <si>
    <t>晴樹</t>
    <rPh sb="0" eb="2">
      <t>ハルキ</t>
    </rPh>
    <phoneticPr fontId="4"/>
  </si>
  <si>
    <t>飯島</t>
    <rPh sb="0" eb="2">
      <t>イイジマ</t>
    </rPh>
    <phoneticPr fontId="4"/>
  </si>
  <si>
    <t>凛</t>
    <rPh sb="0" eb="1">
      <t>リン</t>
    </rPh>
    <phoneticPr fontId="4"/>
  </si>
  <si>
    <t>太一</t>
    <rPh sb="0" eb="2">
      <t>タイチ</t>
    </rPh>
    <phoneticPr fontId="4"/>
  </si>
  <si>
    <t>魚住</t>
    <rPh sb="0" eb="2">
      <t>ウオズミ</t>
    </rPh>
    <phoneticPr fontId="4"/>
  </si>
  <si>
    <t>拓夢</t>
    <rPh sb="0" eb="1">
      <t>ヒロム</t>
    </rPh>
    <rPh sb="1" eb="2">
      <t>ユメ</t>
    </rPh>
    <phoneticPr fontId="4"/>
  </si>
  <si>
    <t>原</t>
    <rPh sb="0" eb="1">
      <t>ハラ</t>
    </rPh>
    <phoneticPr fontId="4"/>
  </si>
  <si>
    <t>太壱</t>
    <rPh sb="0" eb="1">
      <t>タ</t>
    </rPh>
    <rPh sb="1" eb="2">
      <t>イチ</t>
    </rPh>
    <phoneticPr fontId="4"/>
  </si>
  <si>
    <t>濱田</t>
    <rPh sb="0" eb="2">
      <t>ハマダ</t>
    </rPh>
    <phoneticPr fontId="6"/>
  </si>
  <si>
    <t>紫希</t>
    <rPh sb="0" eb="1">
      <t>ムラサキ</t>
    </rPh>
    <rPh sb="1" eb="2">
      <t>キ</t>
    </rPh>
    <phoneticPr fontId="6"/>
  </si>
  <si>
    <t>加藤</t>
    <rPh sb="0" eb="2">
      <t>カトウ</t>
    </rPh>
    <phoneticPr fontId="6"/>
  </si>
  <si>
    <t>旭葉</t>
    <rPh sb="0" eb="1">
      <t>アサヒ</t>
    </rPh>
    <rPh sb="1" eb="2">
      <t>ハ</t>
    </rPh>
    <phoneticPr fontId="6"/>
  </si>
  <si>
    <t>市川</t>
    <rPh sb="0" eb="2">
      <t>イチカワ</t>
    </rPh>
    <phoneticPr fontId="6"/>
  </si>
  <si>
    <t>（公財）　　静　　岡　　県　　ス　ポ　ー　ツ　　協　　会</t>
    <rPh sb="1" eb="2">
      <t>オオヤケ</t>
    </rPh>
    <rPh sb="2" eb="3">
      <t>ザイ</t>
    </rPh>
    <rPh sb="6" eb="13">
      <t>シズオカケン</t>
    </rPh>
    <rPh sb="24" eb="28">
      <t>キョウカイ</t>
    </rPh>
    <phoneticPr fontId="1"/>
  </si>
  <si>
    <t>令和４年</t>
    <rPh sb="0" eb="1">
      <t>レイ</t>
    </rPh>
    <rPh sb="1" eb="2">
      <t>ワ</t>
    </rPh>
    <rPh sb="3" eb="4">
      <t>ネン</t>
    </rPh>
    <phoneticPr fontId="1"/>
  </si>
  <si>
    <t>7組</t>
    <rPh sb="1" eb="2">
      <t>クミ</t>
    </rPh>
    <phoneticPr fontId="1"/>
  </si>
  <si>
    <t>8組</t>
    <rPh sb="1" eb="2">
      <t>クミ</t>
    </rPh>
    <phoneticPr fontId="1"/>
  </si>
  <si>
    <t>　予選６組　(２)</t>
    <rPh sb="1" eb="3">
      <t>ヨセン</t>
    </rPh>
    <rPh sb="4" eb="5">
      <t>クミ</t>
    </rPh>
    <phoneticPr fontId="1"/>
  </si>
  <si>
    <t>　敗者復活１組　(１)</t>
    <rPh sb="1" eb="3">
      <t>ハイシャ</t>
    </rPh>
    <rPh sb="3" eb="5">
      <t>フッカツ</t>
    </rPh>
    <rPh sb="6" eb="7">
      <t>クミ</t>
    </rPh>
    <phoneticPr fontId="1"/>
  </si>
  <si>
    <t>　敗者復活２組　(１）</t>
    <rPh sb="1" eb="3">
      <t>ハイシャ</t>
    </rPh>
    <rPh sb="3" eb="5">
      <t>フッカツ</t>
    </rPh>
    <rPh sb="6" eb="7">
      <t>クミ</t>
    </rPh>
    <phoneticPr fontId="1"/>
  </si>
  <si>
    <t>浜松西</t>
    <rPh sb="0" eb="3">
      <t>ハママツニシ</t>
    </rPh>
    <phoneticPr fontId="1"/>
  </si>
  <si>
    <t>新居</t>
    <rPh sb="0" eb="2">
      <t>シンキョ</t>
    </rPh>
    <phoneticPr fontId="1"/>
  </si>
  <si>
    <t>浜松大平台</t>
    <rPh sb="0" eb="5">
      <t>ハママツオオヒラダイ</t>
    </rPh>
    <phoneticPr fontId="1"/>
  </si>
  <si>
    <t>浜松湖南</t>
    <rPh sb="0" eb="4">
      <t>ハママツコナン</t>
    </rPh>
    <phoneticPr fontId="1"/>
  </si>
  <si>
    <t>沼津東
浜松北</t>
    <rPh sb="0" eb="3">
      <t>ヌマヅヒガシ</t>
    </rPh>
    <rPh sb="4" eb="7">
      <t>ハママツキタ</t>
    </rPh>
    <phoneticPr fontId="1"/>
  </si>
  <si>
    <t>浜松西
浜松北</t>
    <rPh sb="0" eb="3">
      <t>ハママツニシ</t>
    </rPh>
    <rPh sb="4" eb="7">
      <t>ハママツキタ</t>
    </rPh>
    <phoneticPr fontId="1"/>
  </si>
  <si>
    <t>浜松北</t>
    <rPh sb="0" eb="3">
      <t>ハママツキタ</t>
    </rPh>
    <phoneticPr fontId="1"/>
  </si>
  <si>
    <r>
      <t>クイックスタートでスタートする場合　　　「</t>
    </r>
    <r>
      <rPr>
        <sz val="10"/>
        <color rgb="FFFF0000"/>
        <rFont val="ＭＳ Ｐゴシック"/>
        <family val="3"/>
        <charset val="128"/>
      </rPr>
      <t>オールクルーズ</t>
    </r>
    <r>
      <rPr>
        <sz val="10"/>
        <rFont val="ＭＳ Ｐゴシック"/>
        <family val="3"/>
        <charset val="128"/>
      </rPr>
      <t>」→「アテンション」→発艇旗をあげ→</t>
    </r>
    <phoneticPr fontId="1"/>
  </si>
  <si>
    <r>
      <t>（競漕規則第4</t>
    </r>
    <r>
      <rPr>
        <sz val="10"/>
        <color rgb="FFFF0000"/>
        <rFont val="ＭＳ Ｐゴシック"/>
        <family val="3"/>
        <charset val="128"/>
      </rPr>
      <t>7</t>
    </r>
    <r>
      <rPr>
        <sz val="10"/>
        <rFont val="ＭＳ Ｐゴシック"/>
        <family val="3"/>
        <charset val="128"/>
      </rPr>
      <t>条）</t>
    </r>
    <phoneticPr fontId="1"/>
  </si>
  <si>
    <r>
      <t>（競漕規則第25条</t>
    </r>
    <r>
      <rPr>
        <sz val="10"/>
        <color rgb="FFFF0000"/>
        <rFont val="ＭＳ Ｐゴシック"/>
        <family val="3"/>
        <charset val="128"/>
      </rPr>
      <t>第1項細則</t>
    </r>
    <r>
      <rPr>
        <sz val="10"/>
        <rFont val="ＭＳ Ｐゴシック"/>
        <family val="3"/>
        <charset val="128"/>
      </rPr>
      <t>）</t>
    </r>
    <rPh sb="9" eb="10">
      <t>ダイ</t>
    </rPh>
    <rPh sb="11" eb="12">
      <t>コウ</t>
    </rPh>
    <rPh sb="12" eb="14">
      <t>サイソク</t>
    </rPh>
    <phoneticPr fontId="1"/>
  </si>
  <si>
    <t>落水が発生した場合、選手の競技継続意志に関係なく即救助。</t>
    <rPh sb="0" eb="2">
      <t>ラクスイ</t>
    </rPh>
    <rPh sb="3" eb="5">
      <t>ハッセイ</t>
    </rPh>
    <rPh sb="7" eb="9">
      <t>バアイ</t>
    </rPh>
    <rPh sb="10" eb="12">
      <t>センシュ</t>
    </rPh>
    <rPh sb="13" eb="15">
      <t>キョウギ</t>
    </rPh>
    <rPh sb="15" eb="17">
      <t>ケイゾク</t>
    </rPh>
    <rPh sb="17" eb="19">
      <t>イシ</t>
    </rPh>
    <rPh sb="20" eb="22">
      <t>カンケイ</t>
    </rPh>
    <rPh sb="24" eb="25">
      <t>ソク</t>
    </rPh>
    <rPh sb="25" eb="27">
      <t>キュウジョ</t>
    </rPh>
    <phoneticPr fontId="1"/>
  </si>
  <si>
    <t>（レース中に救助された場合の判定は途中棄権）ただし、敗者復活戦が設定されている種目で、</t>
    <rPh sb="14" eb="16">
      <t>ハンテイ</t>
    </rPh>
    <rPh sb="26" eb="28">
      <t>ハイシャ</t>
    </rPh>
    <rPh sb="28" eb="31">
      <t>フッカツセン</t>
    </rPh>
    <rPh sb="32" eb="34">
      <t>セッテイ</t>
    </rPh>
    <rPh sb="39" eb="41">
      <t>シュモク</t>
    </rPh>
    <phoneticPr fontId="1"/>
  </si>
  <si>
    <t>予選レース中に落水し救助された場合のみ、敗者復活戦への出場を認める。</t>
    <rPh sb="11" eb="12">
      <t>タス</t>
    </rPh>
    <rPh sb="20" eb="22">
      <t>ハイシャ</t>
    </rPh>
    <rPh sb="22" eb="25">
      <t>フッカツセン</t>
    </rPh>
    <rPh sb="27" eb="29">
      <t>シュツジョウ</t>
    </rPh>
    <rPh sb="30" eb="31">
      <t>ミト</t>
    </rPh>
    <phoneticPr fontId="1"/>
  </si>
  <si>
    <t>１．棄権届</t>
    <rPh sb="2" eb="4">
      <t>キケン</t>
    </rPh>
    <rPh sb="4" eb="5">
      <t>トドケ</t>
    </rPh>
    <phoneticPr fontId="1"/>
  </si>
  <si>
    <t>出漕団体名：</t>
    <rPh sb="0" eb="1">
      <t>デ</t>
    </rPh>
    <rPh sb="1" eb="2">
      <t>コ</t>
    </rPh>
    <rPh sb="2" eb="4">
      <t>ダンタイ</t>
    </rPh>
    <rPh sb="4" eb="5">
      <t>メイ</t>
    </rPh>
    <phoneticPr fontId="1"/>
  </si>
  <si>
    <t>２．メンバー変更届</t>
    <rPh sb="6" eb="8">
      <t>ヘンコウ</t>
    </rPh>
    <rPh sb="8" eb="9">
      <t>トドケ</t>
    </rPh>
    <phoneticPr fontId="1"/>
  </si>
  <si>
    <t>届出責任者：</t>
    <rPh sb="0" eb="2">
      <t>トドケデ</t>
    </rPh>
    <rPh sb="2" eb="5">
      <t>セキニンシャ</t>
    </rPh>
    <phoneticPr fontId="1"/>
  </si>
  <si>
    <t>３．ブレード変更届</t>
    <rPh sb="6" eb="8">
      <t>ヘンコウ</t>
    </rPh>
    <rPh sb="8" eb="9">
      <t>トドケ</t>
    </rPh>
    <phoneticPr fontId="1"/>
  </si>
  <si>
    <t>※該当するものに○をつける</t>
    <rPh sb="1" eb="3">
      <t>ガイトウ</t>
    </rPh>
    <phoneticPr fontId="1"/>
  </si>
  <si>
    <t>１．棄権届の内容</t>
    <rPh sb="2" eb="4">
      <t>キケン</t>
    </rPh>
    <rPh sb="4" eb="5">
      <t>トドケ</t>
    </rPh>
    <rPh sb="6" eb="8">
      <t>ナイヨウ</t>
    </rPh>
    <phoneticPr fontId="1"/>
  </si>
  <si>
    <r>
      <t>レースN</t>
    </r>
    <r>
      <rPr>
        <sz val="11"/>
        <rFont val="ＭＳ Ｐゴシック"/>
        <family val="3"/>
        <charset val="128"/>
      </rPr>
      <t>o.</t>
    </r>
    <phoneticPr fontId="1"/>
  </si>
  <si>
    <t>発艇時刻</t>
    <rPh sb="0" eb="1">
      <t>ハッ</t>
    </rPh>
    <rPh sb="1" eb="2">
      <t>テイ</t>
    </rPh>
    <rPh sb="2" eb="4">
      <t>ジコク</t>
    </rPh>
    <phoneticPr fontId="1"/>
  </si>
  <si>
    <t>種　　目</t>
    <rPh sb="0" eb="1">
      <t>シュ</t>
    </rPh>
    <rPh sb="3" eb="4">
      <t>メ</t>
    </rPh>
    <phoneticPr fontId="1"/>
  </si>
  <si>
    <t>クルー名</t>
    <rPh sb="3" eb="4">
      <t>メイ</t>
    </rPh>
    <phoneticPr fontId="1"/>
  </si>
  <si>
    <t>時　　　　分</t>
    <rPh sb="0" eb="1">
      <t>ジ</t>
    </rPh>
    <rPh sb="5" eb="6">
      <t>フン</t>
    </rPh>
    <phoneticPr fontId="1"/>
  </si>
  <si>
    <t>男子　・　女子</t>
    <rPh sb="0" eb="2">
      <t>ダンシ</t>
    </rPh>
    <rPh sb="5" eb="7">
      <t>ジョシ</t>
    </rPh>
    <phoneticPr fontId="1"/>
  </si>
  <si>
    <t>４×＋　・　２×　・　１×</t>
    <phoneticPr fontId="1"/>
  </si>
  <si>
    <t>２．メンバー変更届の内容</t>
    <rPh sb="6" eb="8">
      <t>ヘンコウ</t>
    </rPh>
    <rPh sb="8" eb="9">
      <t>トドケ</t>
    </rPh>
    <rPh sb="10" eb="12">
      <t>ナイヨウ</t>
    </rPh>
    <phoneticPr fontId="1"/>
  </si>
  <si>
    <t>エントリーしたメンバー</t>
    <phoneticPr fontId="1"/>
  </si>
  <si>
    <t>変更したメンバー</t>
    <rPh sb="0" eb="2">
      <t>ヘンコウ</t>
    </rPh>
    <phoneticPr fontId="1"/>
  </si>
  <si>
    <t>３</t>
    <phoneticPr fontId="1"/>
  </si>
  <si>
    <t>２</t>
    <phoneticPr fontId="1"/>
  </si>
  <si>
    <t>補</t>
    <rPh sb="0" eb="1">
      <t>ホ</t>
    </rPh>
    <phoneticPr fontId="1"/>
  </si>
  <si>
    <t>３．ブレード変更届の内容</t>
    <rPh sb="6" eb="8">
      <t>ヘンコウ</t>
    </rPh>
    <rPh sb="8" eb="9">
      <t>トドケ</t>
    </rPh>
    <rPh sb="10" eb="12">
      <t>ナイヨウ</t>
    </rPh>
    <phoneticPr fontId="1"/>
  </si>
  <si>
    <t>登録したブレード</t>
    <rPh sb="0" eb="2">
      <t>トウロク</t>
    </rPh>
    <phoneticPr fontId="1"/>
  </si>
  <si>
    <t>変更したブレード</t>
    <rPh sb="0" eb="2">
      <t>ヘンコウ</t>
    </rPh>
    <phoneticPr fontId="1"/>
  </si>
  <si>
    <t>ブレード変更する漕手のシート</t>
    <rPh sb="4" eb="6">
      <t>ヘンコウ</t>
    </rPh>
    <rPh sb="8" eb="10">
      <t>ソウシュ</t>
    </rPh>
    <phoneticPr fontId="1"/>
  </si>
  <si>
    <t>S　　　３　　　２　　　B</t>
    <phoneticPr fontId="1"/>
  </si>
  <si>
    <t>４．申請の理由</t>
    <rPh sb="2" eb="4">
      <t>シンセイ</t>
    </rPh>
    <rPh sb="5" eb="7">
      <t>リユウ</t>
    </rPh>
    <phoneticPr fontId="1"/>
  </si>
  <si>
    <t>受付No.</t>
    <rPh sb="0" eb="2">
      <t>ウケツケ</t>
    </rPh>
    <phoneticPr fontId="1"/>
  </si>
  <si>
    <t>受付日時</t>
    <rPh sb="0" eb="2">
      <t>ウケツケ</t>
    </rPh>
    <rPh sb="2" eb="4">
      <t>ニチジ</t>
    </rPh>
    <phoneticPr fontId="1"/>
  </si>
  <si>
    <t>競漕委員長</t>
    <rPh sb="0" eb="2">
      <t>キョウソウ</t>
    </rPh>
    <rPh sb="2" eb="5">
      <t>イインチョウ</t>
    </rPh>
    <phoneticPr fontId="1"/>
  </si>
  <si>
    <t>審判長</t>
    <rPh sb="0" eb="3">
      <t>シンパンチョウ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</si>
  <si>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</si>
  <si>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</si>
  <si>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</si>
  <si>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天竜</t>
    <rPh sb="0" eb="2">
      <t>テンリュウ</t>
    </rPh>
    <phoneticPr fontId="1"/>
  </si>
  <si>
    <t>浜松北</t>
    <rPh sb="0" eb="3">
      <t>ハママツキタ</t>
    </rPh>
    <phoneticPr fontId="1"/>
  </si>
  <si>
    <t>浜松西</t>
    <rPh sb="0" eb="3">
      <t>ハママツニシ</t>
    </rPh>
    <phoneticPr fontId="1"/>
  </si>
  <si>
    <t>浜松湖南</t>
    <rPh sb="0" eb="4">
      <t>ハママツコナン</t>
    </rPh>
    <phoneticPr fontId="1"/>
  </si>
  <si>
    <t>浜松大平台</t>
    <rPh sb="0" eb="5">
      <t>ハママツオオヒラダイ</t>
    </rPh>
    <phoneticPr fontId="1"/>
  </si>
  <si>
    <t>新居</t>
    <rPh sb="0" eb="2">
      <t>アライ</t>
    </rPh>
    <phoneticPr fontId="1"/>
  </si>
  <si>
    <t>湖西</t>
    <rPh sb="0" eb="2">
      <t>コサイ</t>
    </rPh>
    <phoneticPr fontId="1"/>
  </si>
  <si>
    <t>沼津工</t>
    <rPh sb="0" eb="2">
      <t>ヌマヅ</t>
    </rPh>
    <rPh sb="2" eb="3">
      <t>コウ</t>
    </rPh>
    <phoneticPr fontId="1"/>
  </si>
  <si>
    <t>沼津工業</t>
    <rPh sb="0" eb="4">
      <t>ヌマヅコウギョウ</t>
    </rPh>
    <phoneticPr fontId="1"/>
  </si>
  <si>
    <t>沼津工（佐々木）</t>
    <rPh sb="0" eb="2">
      <t>ヌマヅ</t>
    </rPh>
    <rPh sb="2" eb="3">
      <t>コウ</t>
    </rPh>
    <rPh sb="4" eb="7">
      <t>ササキ</t>
    </rPh>
    <phoneticPr fontId="1"/>
  </si>
  <si>
    <t>浜松北（髙橋）</t>
    <rPh sb="0" eb="2">
      <t>ハママツ</t>
    </rPh>
    <rPh sb="2" eb="3">
      <t>キタ</t>
    </rPh>
    <rPh sb="4" eb="6">
      <t>タカハシ</t>
    </rPh>
    <phoneticPr fontId="1"/>
  </si>
  <si>
    <t>２０２３（令５）</t>
    <rPh sb="5" eb="6">
      <t>レイ</t>
    </rPh>
    <phoneticPr fontId="1"/>
  </si>
  <si>
    <t>第　71 　回　静　岡　県　高　等　学　校</t>
    <rPh sb="0" eb="1">
      <t>ダイ</t>
    </rPh>
    <rPh sb="6" eb="7">
      <t>カイ</t>
    </rPh>
    <rPh sb="8" eb="13">
      <t>シズオカケン</t>
    </rPh>
    <rPh sb="14" eb="17">
      <t>コウトウ</t>
    </rPh>
    <rPh sb="18" eb="21">
      <t>ガッコウ</t>
    </rPh>
    <phoneticPr fontId="1"/>
  </si>
  <si>
    <t>令和５年</t>
    <rPh sb="0" eb="1">
      <t>レイ</t>
    </rPh>
    <rPh sb="1" eb="2">
      <t>ワ</t>
    </rPh>
    <rPh sb="3" eb="4">
      <t>ネン</t>
    </rPh>
    <phoneticPr fontId="1"/>
  </si>
  <si>
    <t>越智千紗都</t>
    <rPh sb="0" eb="2">
      <t>オチ</t>
    </rPh>
    <rPh sb="2" eb="5">
      <t>チサト</t>
    </rPh>
    <phoneticPr fontId="1"/>
  </si>
  <si>
    <t>新居高校</t>
    <rPh sb="0" eb="2">
      <t>アライ</t>
    </rPh>
    <rPh sb="2" eb="4">
      <t>コウコウ</t>
    </rPh>
    <phoneticPr fontId="1"/>
  </si>
  <si>
    <t>和田</t>
    <rPh sb="0" eb="2">
      <t>ワダ</t>
    </rPh>
    <phoneticPr fontId="4"/>
  </si>
  <si>
    <t>潤誠</t>
    <rPh sb="0" eb="2">
      <t>ジュンセイ</t>
    </rPh>
    <phoneticPr fontId="4"/>
  </si>
  <si>
    <t>平山</t>
    <rPh sb="0" eb="2">
      <t>ヒラヤマ</t>
    </rPh>
    <phoneticPr fontId="4"/>
  </si>
  <si>
    <t>和義</t>
    <rPh sb="0" eb="2">
      <t>カズヨシ</t>
    </rPh>
    <phoneticPr fontId="4"/>
  </si>
  <si>
    <t>椛島</t>
  </si>
  <si>
    <t>令煌</t>
  </si>
  <si>
    <t>今部</t>
    <rPh sb="0" eb="2">
      <t>コンベ</t>
    </rPh>
    <phoneticPr fontId="4"/>
  </si>
  <si>
    <t>横原</t>
    <rPh sb="0" eb="2">
      <t>ヨコハラ</t>
    </rPh>
    <phoneticPr fontId="4"/>
  </si>
  <si>
    <t>広翔</t>
    <rPh sb="0" eb="2">
      <t>ヒロト</t>
    </rPh>
    <phoneticPr fontId="4"/>
  </si>
  <si>
    <t>藤下</t>
    <rPh sb="0" eb="2">
      <t>フジシタ</t>
    </rPh>
    <phoneticPr fontId="4"/>
  </si>
  <si>
    <t>幸大</t>
    <rPh sb="0" eb="1">
      <t>ユキ</t>
    </rPh>
    <rPh sb="1" eb="2">
      <t>マサル</t>
    </rPh>
    <phoneticPr fontId="4"/>
  </si>
  <si>
    <t>アレバロ</t>
  </si>
  <si>
    <t>ケイスケ</t>
  </si>
  <si>
    <t>齋藤</t>
    <rPh sb="0" eb="2">
      <t>サイトウ</t>
    </rPh>
    <phoneticPr fontId="4"/>
  </si>
  <si>
    <t>滉晟</t>
  </si>
  <si>
    <t>ガウデンシオ</t>
  </si>
  <si>
    <t>マサユキ</t>
  </si>
  <si>
    <t>青木</t>
    <rPh sb="0" eb="2">
      <t>アオキ</t>
    </rPh>
    <phoneticPr fontId="4"/>
  </si>
  <si>
    <t>唯翔</t>
    <rPh sb="0" eb="1">
      <t>ユイ</t>
    </rPh>
    <rPh sb="1" eb="2">
      <t>ショウ</t>
    </rPh>
    <phoneticPr fontId="4"/>
  </si>
  <si>
    <t>新居高校A</t>
    <rPh sb="0" eb="2">
      <t>アライ</t>
    </rPh>
    <rPh sb="2" eb="4">
      <t>コウコウ</t>
    </rPh>
    <phoneticPr fontId="1"/>
  </si>
  <si>
    <t>新居高校B</t>
    <rPh sb="0" eb="2">
      <t>アライ</t>
    </rPh>
    <rPh sb="2" eb="4">
      <t>コウコウ</t>
    </rPh>
    <phoneticPr fontId="1"/>
  </si>
  <si>
    <t>新居高校C</t>
    <rPh sb="0" eb="2">
      <t>アライ</t>
    </rPh>
    <rPh sb="2" eb="4">
      <t>コウコウ</t>
    </rPh>
    <phoneticPr fontId="1"/>
  </si>
  <si>
    <t>新居高校D</t>
    <rPh sb="0" eb="2">
      <t>アライ</t>
    </rPh>
    <rPh sb="2" eb="4">
      <t>コウコウ</t>
    </rPh>
    <phoneticPr fontId="1"/>
  </si>
  <si>
    <t>新居高校E</t>
    <rPh sb="0" eb="2">
      <t>アライ</t>
    </rPh>
    <rPh sb="2" eb="4">
      <t>コウコウ</t>
    </rPh>
    <phoneticPr fontId="1"/>
  </si>
  <si>
    <t>新居高校F</t>
    <rPh sb="0" eb="2">
      <t>アライ</t>
    </rPh>
    <rPh sb="2" eb="4">
      <t>コウコウ</t>
    </rPh>
    <phoneticPr fontId="1"/>
  </si>
  <si>
    <t>新居高校G</t>
    <rPh sb="0" eb="2">
      <t>アライ</t>
    </rPh>
    <rPh sb="2" eb="4">
      <t>コウコウ</t>
    </rPh>
    <phoneticPr fontId="1"/>
  </si>
  <si>
    <t>越智千紗都</t>
    <rPh sb="0" eb="5">
      <t>オチチサト</t>
    </rPh>
    <phoneticPr fontId="1"/>
  </si>
  <si>
    <t>タカムラ</t>
  </si>
  <si>
    <t>タイチ</t>
  </si>
  <si>
    <t>ウオズミ</t>
  </si>
  <si>
    <t>ヒロム</t>
  </si>
  <si>
    <t>カバシマ</t>
  </si>
  <si>
    <t>レオ</t>
  </si>
  <si>
    <t>アオキ</t>
  </si>
  <si>
    <t>ユイト</t>
  </si>
  <si>
    <t>ヤクタヨ</t>
  </si>
  <si>
    <t>イサオ</t>
  </si>
  <si>
    <t>杉浦</t>
    <rPh sb="0" eb="2">
      <t>スギウラ</t>
    </rPh>
    <phoneticPr fontId="4"/>
  </si>
  <si>
    <t>舞依</t>
    <rPh sb="0" eb="1">
      <t>マイ</t>
    </rPh>
    <rPh sb="1" eb="2">
      <t>イ</t>
    </rPh>
    <phoneticPr fontId="4"/>
  </si>
  <si>
    <t>スギウラ</t>
  </si>
  <si>
    <t>マイ</t>
  </si>
  <si>
    <t>小杉佳子</t>
    <rPh sb="0" eb="1">
      <t>コスギ</t>
    </rPh>
    <rPh sb="1" eb="3">
      <t>カコ</t>
    </rPh>
    <phoneticPr fontId="1"/>
  </si>
  <si>
    <t>疋田</t>
    <rPh sb="0" eb="2">
      <t>ヒキダ</t>
    </rPh>
    <phoneticPr fontId="4"/>
  </si>
  <si>
    <t>優里</t>
    <rPh sb="0" eb="2">
      <t>ユウリ</t>
    </rPh>
    <phoneticPr fontId="4"/>
  </si>
  <si>
    <t>ヒキダ</t>
  </si>
  <si>
    <t>ユウリ</t>
  </si>
  <si>
    <t>浜松大平台高校A</t>
    <rPh sb="0" eb="7">
      <t>ハママツオオヒラダイコウコウ</t>
    </rPh>
    <phoneticPr fontId="1"/>
  </si>
  <si>
    <t>浜松大平台高校B</t>
    <rPh sb="0" eb="7">
      <t>ハママツオオヒラダイコウコウ</t>
    </rPh>
    <phoneticPr fontId="1"/>
  </si>
  <si>
    <t>浜松大平台高校C</t>
    <rPh sb="0" eb="7">
      <t>ハママツオオヒラダイコウコウ</t>
    </rPh>
    <phoneticPr fontId="1"/>
  </si>
  <si>
    <t>浜松大平台高校D</t>
    <rPh sb="0" eb="7">
      <t>ハママツオオヒラダイコウコウ</t>
    </rPh>
    <phoneticPr fontId="1"/>
  </si>
  <si>
    <t>浜松大平台高校E</t>
    <rPh sb="0" eb="7">
      <t>ハママツオオヒラダイコウコウ</t>
    </rPh>
    <phoneticPr fontId="1"/>
  </si>
  <si>
    <t>浜松大平台高校F</t>
    <rPh sb="0" eb="7">
      <t>ハママツオオヒラダイコウコウ</t>
    </rPh>
    <phoneticPr fontId="1"/>
  </si>
  <si>
    <t>袴田</t>
    <rPh sb="0" eb="2">
      <t>ハカマタ</t>
    </rPh>
    <phoneticPr fontId="3"/>
  </si>
  <si>
    <t>聖人</t>
    <rPh sb="0" eb="2">
      <t>セイジン</t>
    </rPh>
    <phoneticPr fontId="3"/>
  </si>
  <si>
    <t>ﾊｶﾏﾀ</t>
  </si>
  <si>
    <t>ﾏｻﾄ</t>
  </si>
  <si>
    <t>佐原</t>
    <rPh sb="0" eb="2">
      <t>サハラ</t>
    </rPh>
    <phoneticPr fontId="3"/>
  </si>
  <si>
    <t>宏汰</t>
    <rPh sb="0" eb="1">
      <t>ヒロ</t>
    </rPh>
    <rPh sb="1" eb="2">
      <t>タ</t>
    </rPh>
    <phoneticPr fontId="3"/>
  </si>
  <si>
    <t>ｻﾊﾗ</t>
  </si>
  <si>
    <t>ｺｳﾀ</t>
  </si>
  <si>
    <t>鈴木</t>
    <rPh sb="0" eb="2">
      <t>スズキ</t>
    </rPh>
    <phoneticPr fontId="3"/>
  </si>
  <si>
    <t>辿馬</t>
    <rPh sb="0" eb="1">
      <t>テン</t>
    </rPh>
    <rPh sb="1" eb="2">
      <t>ウマ</t>
    </rPh>
    <phoneticPr fontId="3"/>
  </si>
  <si>
    <t>ｽｽﾞｷ</t>
  </si>
  <si>
    <t>ﾃﾝﾏ</t>
  </si>
  <si>
    <t>鎌田</t>
    <rPh sb="0" eb="2">
      <t>カマタ</t>
    </rPh>
    <phoneticPr fontId="3"/>
  </si>
  <si>
    <t>有翔</t>
    <rPh sb="0" eb="1">
      <t>ユウ</t>
    </rPh>
    <rPh sb="1" eb="2">
      <t>ショウ</t>
    </rPh>
    <phoneticPr fontId="3"/>
  </si>
  <si>
    <t>ｶﾏﾀ</t>
  </si>
  <si>
    <t>ﾕｳﾄ</t>
  </si>
  <si>
    <t>堀部</t>
    <rPh sb="0" eb="2">
      <t>ホリベ</t>
    </rPh>
    <phoneticPr fontId="3"/>
  </si>
  <si>
    <t>時羽</t>
    <rPh sb="0" eb="1">
      <t>トキ</t>
    </rPh>
    <rPh sb="1" eb="2">
      <t>ハネ</t>
    </rPh>
    <phoneticPr fontId="3"/>
  </si>
  <si>
    <t>ﾎﾘﾍﾞ</t>
  </si>
  <si>
    <t>ﾄｷﾜ</t>
  </si>
  <si>
    <t>松元</t>
    <rPh sb="0" eb="2">
      <t>マツモト</t>
    </rPh>
    <phoneticPr fontId="3"/>
  </si>
  <si>
    <t>慧太朗</t>
  </si>
  <si>
    <t>ﾏﾂﾓﾄ</t>
  </si>
  <si>
    <t>ｹｲﾀﾛｳ</t>
  </si>
  <si>
    <t>野田幹太</t>
    <rPh sb="0" eb="2">
      <t>ノダ</t>
    </rPh>
    <rPh sb="2" eb="4">
      <t>カンタ</t>
    </rPh>
    <phoneticPr fontId="1"/>
  </si>
  <si>
    <t>浜松大平台高校</t>
    <rPh sb="0" eb="7">
      <t>ハママツオオヒラダイコウコウ</t>
    </rPh>
    <phoneticPr fontId="1"/>
  </si>
  <si>
    <t>瀧澤</t>
    <rPh sb="0" eb="2">
      <t>タキザワ</t>
    </rPh>
    <phoneticPr fontId="3"/>
  </si>
  <si>
    <t>明花</t>
    <rPh sb="0" eb="1">
      <t>メイ</t>
    </rPh>
    <rPh sb="1" eb="2">
      <t>ハナ</t>
    </rPh>
    <phoneticPr fontId="3"/>
  </si>
  <si>
    <t>松川</t>
    <rPh sb="0" eb="2">
      <t>マツカワ</t>
    </rPh>
    <phoneticPr fontId="3"/>
  </si>
  <si>
    <t>玲菜</t>
    <rPh sb="0" eb="1">
      <t>レイ</t>
    </rPh>
    <rPh sb="1" eb="2">
      <t>ナ</t>
    </rPh>
    <phoneticPr fontId="3"/>
  </si>
  <si>
    <t>関</t>
    <rPh sb="0" eb="1">
      <t>セキ</t>
    </rPh>
    <phoneticPr fontId="3"/>
  </si>
  <si>
    <t>涼帆</t>
  </si>
  <si>
    <t>林高輝</t>
    <rPh sb="0" eb="1">
      <t>ハヤシ</t>
    </rPh>
    <rPh sb="1" eb="3">
      <t>コウキ</t>
    </rPh>
    <phoneticPr fontId="1"/>
  </si>
  <si>
    <t>涼帆</t>
    <rPh sb="0" eb="1">
      <t>リョウ</t>
    </rPh>
    <rPh sb="1" eb="2">
      <t>ホ</t>
    </rPh>
    <phoneticPr fontId="3"/>
  </si>
  <si>
    <t>ｾｷ</t>
  </si>
  <si>
    <t>ｽｽﾞﾎ</t>
  </si>
  <si>
    <t>林高輝</t>
    <rPh sb="0" eb="2">
      <t>コウキ</t>
    </rPh>
    <phoneticPr fontId="1"/>
  </si>
  <si>
    <t>長谷川</t>
    <rPh sb="0" eb="3">
      <t>ハセガワ</t>
    </rPh>
    <phoneticPr fontId="3"/>
  </si>
  <si>
    <t>愛華</t>
    <rPh sb="0" eb="1">
      <t>アイ</t>
    </rPh>
    <rPh sb="1" eb="2">
      <t>ハナ</t>
    </rPh>
    <phoneticPr fontId="3"/>
  </si>
  <si>
    <t>ﾊｾｶﾞﾜ</t>
  </si>
  <si>
    <t>ﾔｽｶ</t>
  </si>
  <si>
    <t>浜松湖南高校A</t>
    <rPh sb="0" eb="2">
      <t>ハママツ</t>
    </rPh>
    <rPh sb="2" eb="4">
      <t>コナン</t>
    </rPh>
    <rPh sb="4" eb="6">
      <t>コウコウ</t>
    </rPh>
    <phoneticPr fontId="1"/>
  </si>
  <si>
    <t>浜松湖南高校B</t>
    <rPh sb="0" eb="2">
      <t>ハママツ</t>
    </rPh>
    <rPh sb="2" eb="4">
      <t>コナン</t>
    </rPh>
    <rPh sb="4" eb="6">
      <t>コウコウ</t>
    </rPh>
    <phoneticPr fontId="1"/>
  </si>
  <si>
    <t>竹内</t>
    <rPh sb="0" eb="2">
      <t>タケウチ</t>
    </rPh>
    <phoneticPr fontId="6"/>
  </si>
  <si>
    <t>さくら</t>
  </si>
  <si>
    <t>粟野</t>
    <rPh sb="0" eb="2">
      <t>アワノ</t>
    </rPh>
    <phoneticPr fontId="6"/>
  </si>
  <si>
    <t>来波</t>
    <rPh sb="0" eb="1">
      <t>ク</t>
    </rPh>
    <rPh sb="1" eb="2">
      <t>ナミ</t>
    </rPh>
    <phoneticPr fontId="6"/>
  </si>
  <si>
    <t>荒井</t>
    <rPh sb="0" eb="2">
      <t>アライ</t>
    </rPh>
    <phoneticPr fontId="6"/>
  </si>
  <si>
    <t>つぐみ</t>
  </si>
  <si>
    <t>未波</t>
    <rPh sb="0" eb="1">
      <t>ミ</t>
    </rPh>
    <rPh sb="1" eb="2">
      <t>ナミ</t>
    </rPh>
    <phoneticPr fontId="6"/>
  </si>
  <si>
    <t>鈴木基弘</t>
    <rPh sb="0" eb="2">
      <t>スズキ</t>
    </rPh>
    <rPh sb="2" eb="4">
      <t>モトヒロ</t>
    </rPh>
    <phoneticPr fontId="1"/>
  </si>
  <si>
    <t>岡部</t>
    <rPh sb="0" eb="2">
      <t>オカベ</t>
    </rPh>
    <phoneticPr fontId="6"/>
  </si>
  <si>
    <t>朱里</t>
    <rPh sb="0" eb="1">
      <t>シュ</t>
    </rPh>
    <rPh sb="1" eb="2">
      <t>リ</t>
    </rPh>
    <phoneticPr fontId="6"/>
  </si>
  <si>
    <t>ゆあ</t>
  </si>
  <si>
    <t>京花</t>
    <rPh sb="0" eb="1">
      <t>キョウ</t>
    </rPh>
    <rPh sb="1" eb="2">
      <t>ハナ</t>
    </rPh>
    <phoneticPr fontId="6"/>
  </si>
  <si>
    <t>浜松湖南高校</t>
    <rPh sb="0" eb="2">
      <t>ハママツ</t>
    </rPh>
    <rPh sb="2" eb="4">
      <t>コナン</t>
    </rPh>
    <rPh sb="4" eb="6">
      <t>コウコウ</t>
    </rPh>
    <phoneticPr fontId="1"/>
  </si>
  <si>
    <t>鈴木基弘</t>
    <rPh sb="0" eb="4">
      <t>スズキモトヒロ</t>
    </rPh>
    <phoneticPr fontId="1"/>
  </si>
  <si>
    <t>浜松湖南高校A</t>
    <rPh sb="0" eb="4">
      <t>ハママツコナン</t>
    </rPh>
    <rPh sb="4" eb="6">
      <t>コウコウ</t>
    </rPh>
    <phoneticPr fontId="1"/>
  </si>
  <si>
    <t>浜松湖南高校B</t>
    <rPh sb="0" eb="4">
      <t>ハママツコナン</t>
    </rPh>
    <rPh sb="4" eb="6">
      <t>コウコウ</t>
    </rPh>
    <phoneticPr fontId="1"/>
  </si>
  <si>
    <t>浜松湖南高校C</t>
    <rPh sb="0" eb="4">
      <t>ハママツコナン</t>
    </rPh>
    <rPh sb="4" eb="6">
      <t>コウコウ</t>
    </rPh>
    <phoneticPr fontId="1"/>
  </si>
  <si>
    <t>浜松湖南高校D</t>
    <rPh sb="0" eb="4">
      <t>ハママツコナン</t>
    </rPh>
    <rPh sb="4" eb="6">
      <t>コウコウ</t>
    </rPh>
    <phoneticPr fontId="1"/>
  </si>
  <si>
    <t>浜松湖南高校E</t>
    <rPh sb="0" eb="4">
      <t>ハママツコナン</t>
    </rPh>
    <rPh sb="4" eb="6">
      <t>コウコウ</t>
    </rPh>
    <phoneticPr fontId="1"/>
  </si>
  <si>
    <t>浜松湖南高校F</t>
    <rPh sb="0" eb="4">
      <t>ハママツコナン</t>
    </rPh>
    <rPh sb="4" eb="6">
      <t>コウコウ</t>
    </rPh>
    <phoneticPr fontId="1"/>
  </si>
  <si>
    <t>浜松湖南高校G</t>
    <rPh sb="0" eb="4">
      <t>ハママツコナン</t>
    </rPh>
    <rPh sb="4" eb="6">
      <t>コウコウ</t>
    </rPh>
    <phoneticPr fontId="1"/>
  </si>
  <si>
    <t>浜松湖南高校H</t>
    <rPh sb="0" eb="4">
      <t>ハママツコナン</t>
    </rPh>
    <rPh sb="4" eb="6">
      <t>コウコウ</t>
    </rPh>
    <phoneticPr fontId="1"/>
  </si>
  <si>
    <t>渥美</t>
    <rPh sb="0" eb="2">
      <t>アツミ</t>
    </rPh>
    <phoneticPr fontId="18"/>
  </si>
  <si>
    <t>智也</t>
    <rPh sb="0" eb="2">
      <t>トモヤ</t>
    </rPh>
    <phoneticPr fontId="18"/>
  </si>
  <si>
    <t>米澤</t>
    <rPh sb="0" eb="2">
      <t>ヨネザワ</t>
    </rPh>
    <phoneticPr fontId="18"/>
  </si>
  <si>
    <t>涼斗</t>
    <rPh sb="0" eb="1">
      <t>リョウ</t>
    </rPh>
    <rPh sb="1" eb="2">
      <t>ト</t>
    </rPh>
    <phoneticPr fontId="18"/>
  </si>
  <si>
    <t>洋平</t>
    <rPh sb="0" eb="2">
      <t>ヨウヘイ</t>
    </rPh>
    <phoneticPr fontId="4"/>
  </si>
  <si>
    <t>近藤</t>
    <rPh sb="0" eb="2">
      <t>コンドウ</t>
    </rPh>
    <phoneticPr fontId="6"/>
  </si>
  <si>
    <t>碧波</t>
    <rPh sb="0" eb="1">
      <t>アオイ</t>
    </rPh>
    <rPh sb="1" eb="2">
      <t>ナミ</t>
    </rPh>
    <phoneticPr fontId="6"/>
  </si>
  <si>
    <t>コンドウ</t>
  </si>
  <si>
    <t>アオバ</t>
  </si>
  <si>
    <t>影原</t>
    <rPh sb="0" eb="2">
      <t>カゲハラ</t>
    </rPh>
    <phoneticPr fontId="6"/>
  </si>
  <si>
    <t>歩</t>
    <rPh sb="0" eb="1">
      <t>アユ</t>
    </rPh>
    <phoneticPr fontId="6"/>
  </si>
  <si>
    <t>カゲハラ</t>
  </si>
  <si>
    <t>アユム</t>
  </si>
  <si>
    <t>高須</t>
    <rPh sb="0" eb="2">
      <t>タカス</t>
    </rPh>
    <phoneticPr fontId="6"/>
  </si>
  <si>
    <t>丈瑠</t>
    <rPh sb="0" eb="1">
      <t>タケ</t>
    </rPh>
    <rPh sb="1" eb="2">
      <t>ル</t>
    </rPh>
    <phoneticPr fontId="6"/>
  </si>
  <si>
    <t>タカス</t>
  </si>
  <si>
    <t>タケル</t>
  </si>
  <si>
    <t>青島</t>
    <rPh sb="0" eb="2">
      <t>アオシマ</t>
    </rPh>
    <phoneticPr fontId="6"/>
  </si>
  <si>
    <t>皐達</t>
    <rPh sb="0" eb="1">
      <t>コウ</t>
    </rPh>
    <rPh sb="1" eb="2">
      <t>タツ</t>
    </rPh>
    <phoneticPr fontId="6"/>
  </si>
  <si>
    <t>コウタツ</t>
  </si>
  <si>
    <t>山崎武敏</t>
    <rPh sb="0" eb="4">
      <t>ヤマサキタケトシ</t>
    </rPh>
    <phoneticPr fontId="33"/>
  </si>
  <si>
    <t>浜松湖南高校A</t>
    <rPh sb="0" eb="6">
      <t>ハママツコナンコウコウ</t>
    </rPh>
    <phoneticPr fontId="1"/>
  </si>
  <si>
    <t>浜松湖南高校B</t>
    <rPh sb="0" eb="6">
      <t>ハママツコナンコウコウ</t>
    </rPh>
    <phoneticPr fontId="1"/>
  </si>
  <si>
    <t>浜松湖南高校C</t>
    <rPh sb="0" eb="2">
      <t>ハママツ</t>
    </rPh>
    <rPh sb="2" eb="4">
      <t>コナン</t>
    </rPh>
    <rPh sb="4" eb="6">
      <t>コウコウ</t>
    </rPh>
    <phoneticPr fontId="1"/>
  </si>
  <si>
    <t>斎藤</t>
    <rPh sb="0" eb="2">
      <t>サイトウ</t>
    </rPh>
    <phoneticPr fontId="18"/>
  </si>
  <si>
    <t>大輔</t>
    <rPh sb="0" eb="2">
      <t>ダイスケ</t>
    </rPh>
    <phoneticPr fontId="18"/>
  </si>
  <si>
    <t>星山</t>
    <rPh sb="0" eb="2">
      <t>ホシヤマ</t>
    </rPh>
    <phoneticPr fontId="18"/>
  </si>
  <si>
    <t>将士</t>
    <rPh sb="0" eb="1">
      <t>ショウ</t>
    </rPh>
    <rPh sb="1" eb="2">
      <t>シ</t>
    </rPh>
    <phoneticPr fontId="18"/>
  </si>
  <si>
    <t>山崎武敏</t>
    <rPh sb="0" eb="4">
      <t>ヤマサキタケトシ</t>
    </rPh>
    <phoneticPr fontId="1"/>
  </si>
  <si>
    <t>河合</t>
    <rPh sb="0" eb="2">
      <t>カワイ</t>
    </rPh>
    <phoneticPr fontId="18"/>
  </si>
  <si>
    <t>鳳汰</t>
    <rPh sb="0" eb="1">
      <t>オオトリ</t>
    </rPh>
    <rPh sb="1" eb="2">
      <t>タ</t>
    </rPh>
    <phoneticPr fontId="18"/>
  </si>
  <si>
    <t>高津</t>
    <rPh sb="0" eb="2">
      <t>タカツ</t>
    </rPh>
    <phoneticPr fontId="18"/>
  </si>
  <si>
    <t>幹</t>
    <rPh sb="0" eb="1">
      <t>ミキ</t>
    </rPh>
    <phoneticPr fontId="18"/>
  </si>
  <si>
    <t>猪原</t>
    <rPh sb="0" eb="2">
      <t>イノハラ</t>
    </rPh>
    <phoneticPr fontId="18"/>
  </si>
  <si>
    <t>瑞生</t>
    <rPh sb="0" eb="2">
      <t>ミズキ</t>
    </rPh>
    <phoneticPr fontId="18"/>
  </si>
  <si>
    <t>山崎武敏</t>
    <rPh sb="0" eb="2">
      <t>ヤマサキ</t>
    </rPh>
    <rPh sb="2" eb="4">
      <t>タケトシ</t>
    </rPh>
    <phoneticPr fontId="1"/>
  </si>
  <si>
    <t>藤井</t>
    <rPh sb="0" eb="2">
      <t>フジイ</t>
    </rPh>
    <phoneticPr fontId="18"/>
  </si>
  <si>
    <t>敦朗</t>
    <rPh sb="0" eb="2">
      <t>アツロウ</t>
    </rPh>
    <phoneticPr fontId="18"/>
  </si>
  <si>
    <t>山下</t>
    <rPh sb="0" eb="2">
      <t>ヤマシタ</t>
    </rPh>
    <phoneticPr fontId="18"/>
  </si>
  <si>
    <t>稜人</t>
    <rPh sb="0" eb="1">
      <t>リョウ</t>
    </rPh>
    <rPh sb="1" eb="2">
      <t>ヒト</t>
    </rPh>
    <phoneticPr fontId="18"/>
  </si>
  <si>
    <t>岡部</t>
    <rPh sb="0" eb="2">
      <t>オカベ</t>
    </rPh>
    <phoneticPr fontId="18"/>
  </si>
  <si>
    <t>快音</t>
    <rPh sb="0" eb="1">
      <t>カイ</t>
    </rPh>
    <rPh sb="1" eb="2">
      <t>オト</t>
    </rPh>
    <phoneticPr fontId="18"/>
  </si>
  <si>
    <t>大島</t>
    <rPh sb="0" eb="2">
      <t>オオシマ</t>
    </rPh>
    <phoneticPr fontId="18"/>
  </si>
  <si>
    <t>悠翔</t>
    <rPh sb="0" eb="1">
      <t>ユウ</t>
    </rPh>
    <rPh sb="1" eb="2">
      <t>ショウ</t>
    </rPh>
    <phoneticPr fontId="18"/>
  </si>
  <si>
    <t>中出</t>
    <rPh sb="0" eb="2">
      <t>ナカデ</t>
    </rPh>
    <phoneticPr fontId="18"/>
  </si>
  <si>
    <t>仁</t>
    <rPh sb="0" eb="1">
      <t>ジン</t>
    </rPh>
    <phoneticPr fontId="18"/>
  </si>
  <si>
    <t>久木山</t>
    <rPh sb="0" eb="3">
      <t>クキヤマ</t>
    </rPh>
    <phoneticPr fontId="18"/>
  </si>
  <si>
    <t>颯汰</t>
    <rPh sb="0" eb="1">
      <t>ソウ</t>
    </rPh>
    <rPh sb="1" eb="2">
      <t>タ</t>
    </rPh>
    <phoneticPr fontId="18"/>
  </si>
  <si>
    <t>江川</t>
    <rPh sb="0" eb="2">
      <t>エガワ</t>
    </rPh>
    <phoneticPr fontId="18"/>
  </si>
  <si>
    <t>太心</t>
    <rPh sb="0" eb="1">
      <t>タ</t>
    </rPh>
    <rPh sb="1" eb="2">
      <t>シン</t>
    </rPh>
    <phoneticPr fontId="18"/>
  </si>
  <si>
    <t>天竜高校A</t>
    <rPh sb="0" eb="2">
      <t>テンリュウ</t>
    </rPh>
    <rPh sb="2" eb="4">
      <t>コウコウ</t>
    </rPh>
    <phoneticPr fontId="1"/>
  </si>
  <si>
    <t>天竜高校B</t>
    <rPh sb="0" eb="4">
      <t>テンリュウコウコウ</t>
    </rPh>
    <phoneticPr fontId="1"/>
  </si>
  <si>
    <t>磯部</t>
    <rPh sb="0" eb="2">
      <t>イソベ</t>
    </rPh>
    <phoneticPr fontId="3"/>
  </si>
  <si>
    <t>蓮</t>
    <rPh sb="0" eb="1">
      <t>レン</t>
    </rPh>
    <phoneticPr fontId="3"/>
  </si>
  <si>
    <t>南澤</t>
    <rPh sb="0" eb="2">
      <t>ミナミザワ</t>
    </rPh>
    <phoneticPr fontId="3"/>
  </si>
  <si>
    <t>幸太郎</t>
    <rPh sb="0" eb="3">
      <t>コウタロウ</t>
    </rPh>
    <phoneticPr fontId="3"/>
  </si>
  <si>
    <t>平山</t>
    <rPh sb="0" eb="2">
      <t>ヒラヤマ</t>
    </rPh>
    <phoneticPr fontId="3"/>
  </si>
  <si>
    <t>生喜</t>
    <rPh sb="0" eb="1">
      <t>イキル</t>
    </rPh>
    <rPh sb="1" eb="2">
      <t>ヨロコ</t>
    </rPh>
    <phoneticPr fontId="3"/>
  </si>
  <si>
    <t>藤本</t>
    <rPh sb="0" eb="2">
      <t>フジモト</t>
    </rPh>
    <phoneticPr fontId="3"/>
  </si>
  <si>
    <t>優也</t>
    <rPh sb="0" eb="2">
      <t>ユウヤ</t>
    </rPh>
    <phoneticPr fontId="3"/>
  </si>
  <si>
    <t>金原遼</t>
    <rPh sb="0" eb="2">
      <t>キンパラ</t>
    </rPh>
    <rPh sb="2" eb="3">
      <t>リョウ</t>
    </rPh>
    <phoneticPr fontId="1"/>
  </si>
  <si>
    <t>天竜高校A</t>
    <rPh sb="0" eb="4">
      <t>テンリュウコウコウ</t>
    </rPh>
    <phoneticPr fontId="33"/>
  </si>
  <si>
    <t>天竜高校B</t>
    <rPh sb="0" eb="4">
      <t>テンリュウコウコウ</t>
    </rPh>
    <phoneticPr fontId="33"/>
  </si>
  <si>
    <t>天竜高校C</t>
    <rPh sb="0" eb="4">
      <t>テンリュウコウコウ</t>
    </rPh>
    <phoneticPr fontId="33"/>
  </si>
  <si>
    <t>天竜高校D</t>
    <rPh sb="0" eb="4">
      <t>テンリュウコウコウ</t>
    </rPh>
    <phoneticPr fontId="33"/>
  </si>
  <si>
    <t>天竜高校E</t>
    <rPh sb="0" eb="4">
      <t>テンリュウコウコウ</t>
    </rPh>
    <phoneticPr fontId="33"/>
  </si>
  <si>
    <t>大橋</t>
    <rPh sb="0" eb="2">
      <t>オオハシ</t>
    </rPh>
    <phoneticPr fontId="3"/>
  </si>
  <si>
    <t>泰斗</t>
    <rPh sb="0" eb="2">
      <t>タイト</t>
    </rPh>
    <phoneticPr fontId="3"/>
  </si>
  <si>
    <t>清水</t>
  </si>
  <si>
    <t>颯真</t>
  </si>
  <si>
    <t>岡野</t>
    <rPh sb="0" eb="2">
      <t>オカノ</t>
    </rPh>
    <phoneticPr fontId="3"/>
  </si>
  <si>
    <t>望斗</t>
    <rPh sb="0" eb="1">
      <t>ノゾム</t>
    </rPh>
    <rPh sb="1" eb="2">
      <t>ト</t>
    </rPh>
    <phoneticPr fontId="3"/>
  </si>
  <si>
    <t>河合</t>
    <rPh sb="0" eb="2">
      <t>カワイ</t>
    </rPh>
    <phoneticPr fontId="3"/>
  </si>
  <si>
    <t>翔太</t>
    <rPh sb="0" eb="2">
      <t>ショウタ</t>
    </rPh>
    <phoneticPr fontId="3"/>
  </si>
  <si>
    <t>カワイ</t>
  </si>
  <si>
    <t>ショウタ</t>
  </si>
  <si>
    <t>青嶋</t>
    <rPh sb="0" eb="2">
      <t>アオシマ</t>
    </rPh>
    <phoneticPr fontId="3"/>
  </si>
  <si>
    <t>拓海</t>
    <rPh sb="0" eb="2">
      <t>タクミ</t>
    </rPh>
    <phoneticPr fontId="3"/>
  </si>
  <si>
    <t>金原遼</t>
    <rPh sb="0" eb="2">
      <t>キンパラ</t>
    </rPh>
    <rPh sb="2" eb="3">
      <t>リョウ</t>
    </rPh>
    <phoneticPr fontId="33"/>
  </si>
  <si>
    <t>天竜高校A</t>
    <rPh sb="0" eb="4">
      <t>テンリュウコウコウ</t>
    </rPh>
    <phoneticPr fontId="1"/>
  </si>
  <si>
    <t>天竜高校C</t>
    <rPh sb="0" eb="4">
      <t>テンリュウコウコウ</t>
    </rPh>
    <phoneticPr fontId="1"/>
  </si>
  <si>
    <t>天竜高校D</t>
    <rPh sb="0" eb="4">
      <t>テンリュウコウコウ</t>
    </rPh>
    <phoneticPr fontId="1"/>
  </si>
  <si>
    <t>乗松</t>
    <rPh sb="0" eb="2">
      <t>ノリマツ</t>
    </rPh>
    <phoneticPr fontId="3"/>
  </si>
  <si>
    <t>侑奈</t>
    <rPh sb="0" eb="2">
      <t>ユウナ</t>
    </rPh>
    <phoneticPr fontId="3"/>
  </si>
  <si>
    <t>ノリマツ</t>
  </si>
  <si>
    <t>ユキナ</t>
  </si>
  <si>
    <t>椋</t>
    <rPh sb="0" eb="1">
      <t>リョウ</t>
    </rPh>
    <phoneticPr fontId="3"/>
  </si>
  <si>
    <t>リョウ</t>
  </si>
  <si>
    <t>伊藤</t>
    <rPh sb="0" eb="2">
      <t>イトウ</t>
    </rPh>
    <phoneticPr fontId="3"/>
  </si>
  <si>
    <t>菜歩</t>
    <rPh sb="0" eb="2">
      <t>ナホ</t>
    </rPh>
    <phoneticPr fontId="3"/>
  </si>
  <si>
    <t>イトウ</t>
  </si>
  <si>
    <t>ナホ</t>
  </si>
  <si>
    <t>吉田</t>
  </si>
  <si>
    <t>緋菜</t>
  </si>
  <si>
    <t>ヨシダ</t>
  </si>
  <si>
    <t>ヒナ</t>
  </si>
  <si>
    <t>向中野麗奈</t>
    <rPh sb="0" eb="2">
      <t>ムカイナカノ</t>
    </rPh>
    <rPh sb="2" eb="4">
      <t>レナ</t>
    </rPh>
    <phoneticPr fontId="1"/>
  </si>
  <si>
    <t>沼津工業高校A</t>
    <rPh sb="0" eb="6">
      <t>ヌマヅコウギョウコウコウ</t>
    </rPh>
    <phoneticPr fontId="33"/>
  </si>
  <si>
    <t>沼津工業高校B</t>
    <rPh sb="0" eb="6">
      <t>ヌマヅコウギョウコウコウ</t>
    </rPh>
    <phoneticPr fontId="33"/>
  </si>
  <si>
    <t>廣瀨</t>
    <rPh sb="0" eb="2">
      <t>ヒロセ</t>
    </rPh>
    <phoneticPr fontId="3"/>
  </si>
  <si>
    <t>薫</t>
    <rPh sb="0" eb="1">
      <t>カオル</t>
    </rPh>
    <phoneticPr fontId="3"/>
  </si>
  <si>
    <t>ヒロセ</t>
  </si>
  <si>
    <t>カオル</t>
  </si>
  <si>
    <t>窪田</t>
    <rPh sb="0" eb="2">
      <t>クボタ</t>
    </rPh>
    <phoneticPr fontId="3"/>
  </si>
  <si>
    <t>祐貴</t>
    <rPh sb="0" eb="2">
      <t>ユウキ</t>
    </rPh>
    <phoneticPr fontId="3"/>
  </si>
  <si>
    <t>クボタ</t>
  </si>
  <si>
    <t>ユウキ</t>
  </si>
  <si>
    <t>沼津工業高校</t>
    <rPh sb="0" eb="2">
      <t>ヌマヅ</t>
    </rPh>
    <rPh sb="2" eb="4">
      <t>コウギョウ</t>
    </rPh>
    <rPh sb="4" eb="6">
      <t>コウコウ</t>
    </rPh>
    <phoneticPr fontId="1"/>
  </si>
  <si>
    <t>石川</t>
    <rPh sb="0" eb="2">
      <t>イシカワ</t>
    </rPh>
    <phoneticPr fontId="3"/>
  </si>
  <si>
    <t>颯大</t>
    <rPh sb="0" eb="1">
      <t>ソウ</t>
    </rPh>
    <rPh sb="1" eb="2">
      <t>ダイ</t>
    </rPh>
    <phoneticPr fontId="3"/>
  </si>
  <si>
    <t>渡邉</t>
    <rPh sb="0" eb="2">
      <t>ワタナベ</t>
    </rPh>
    <phoneticPr fontId="3"/>
  </si>
  <si>
    <t>斗翔</t>
    <rPh sb="0" eb="1">
      <t>ト</t>
    </rPh>
    <rPh sb="1" eb="2">
      <t>ショウ</t>
    </rPh>
    <phoneticPr fontId="3"/>
  </si>
  <si>
    <t>堀本小奈津</t>
    <rPh sb="0" eb="2">
      <t>ホリモト</t>
    </rPh>
    <rPh sb="2" eb="5">
      <t>コナツ</t>
    </rPh>
    <phoneticPr fontId="1"/>
  </si>
  <si>
    <t>沼津工業高校</t>
    <rPh sb="0" eb="6">
      <t>ヌマヅコウギョウコウコウ</t>
    </rPh>
    <phoneticPr fontId="1"/>
  </si>
  <si>
    <t>小出</t>
    <rPh sb="0" eb="2">
      <t>コイデ</t>
    </rPh>
    <phoneticPr fontId="3"/>
  </si>
  <si>
    <t>歩夢</t>
    <rPh sb="0" eb="2">
      <t>アユム</t>
    </rPh>
    <phoneticPr fontId="3"/>
  </si>
  <si>
    <t>西片</t>
    <rPh sb="0" eb="2">
      <t>ニシカタ</t>
    </rPh>
    <phoneticPr fontId="3"/>
  </si>
  <si>
    <t>健了</t>
    <rPh sb="0" eb="2">
      <t>タケルリョウ</t>
    </rPh>
    <phoneticPr fontId="3"/>
  </si>
  <si>
    <t>武田</t>
    <rPh sb="0" eb="2">
      <t>タケダ</t>
    </rPh>
    <phoneticPr fontId="3"/>
  </si>
  <si>
    <t>侑樹</t>
    <rPh sb="0" eb="1">
      <t>ユウ</t>
    </rPh>
    <rPh sb="1" eb="2">
      <t>キ</t>
    </rPh>
    <phoneticPr fontId="3"/>
  </si>
  <si>
    <t>佐々木</t>
    <rPh sb="0" eb="3">
      <t>ササキ</t>
    </rPh>
    <phoneticPr fontId="3"/>
  </si>
  <si>
    <t>清雅</t>
    <rPh sb="0" eb="2">
      <t>セイガ</t>
    </rPh>
    <phoneticPr fontId="3"/>
  </si>
  <si>
    <t>勝又</t>
    <rPh sb="0" eb="2">
      <t>カツマタ</t>
    </rPh>
    <phoneticPr fontId="3"/>
  </si>
  <si>
    <t>風雅</t>
    <rPh sb="0" eb="2">
      <t>フウガ</t>
    </rPh>
    <phoneticPr fontId="3"/>
  </si>
  <si>
    <t>植松聖陽</t>
    <rPh sb="0" eb="4">
      <t>ウエマツトシアキ</t>
    </rPh>
    <phoneticPr fontId="1"/>
  </si>
  <si>
    <t>沼津東高校</t>
    <rPh sb="0" eb="2">
      <t>ヌマヅ</t>
    </rPh>
    <rPh sb="2" eb="3">
      <t>ヒガシ</t>
    </rPh>
    <rPh sb="3" eb="5">
      <t>コウコウ</t>
    </rPh>
    <phoneticPr fontId="1"/>
  </si>
  <si>
    <t>磯</t>
    <rPh sb="0" eb="1">
      <t>イソ</t>
    </rPh>
    <phoneticPr fontId="3"/>
  </si>
  <si>
    <t>智彦</t>
    <rPh sb="0" eb="2">
      <t>トモヒコ</t>
    </rPh>
    <phoneticPr fontId="3"/>
  </si>
  <si>
    <t>長瀬</t>
    <rPh sb="0" eb="2">
      <t>ナガセ</t>
    </rPh>
    <phoneticPr fontId="3"/>
  </si>
  <si>
    <t>周</t>
    <rPh sb="0" eb="1">
      <t>シュウ</t>
    </rPh>
    <phoneticPr fontId="3"/>
  </si>
  <si>
    <t>野中</t>
    <rPh sb="0" eb="2">
      <t>ノナカ</t>
    </rPh>
    <phoneticPr fontId="3"/>
  </si>
  <si>
    <t>須田</t>
    <rPh sb="0" eb="2">
      <t>スダ</t>
    </rPh>
    <phoneticPr fontId="3"/>
  </si>
  <si>
    <t>南月</t>
    <rPh sb="0" eb="1">
      <t>ミナミ</t>
    </rPh>
    <rPh sb="1" eb="2">
      <t>ツキ</t>
    </rPh>
    <phoneticPr fontId="3"/>
  </si>
  <si>
    <t>沼津東高校A</t>
    <rPh sb="0" eb="2">
      <t>ヌマヅ</t>
    </rPh>
    <rPh sb="2" eb="3">
      <t>ヒガシ</t>
    </rPh>
    <rPh sb="3" eb="5">
      <t>コウコウ</t>
    </rPh>
    <phoneticPr fontId="33"/>
  </si>
  <si>
    <t>沼津東高校B</t>
    <rPh sb="0" eb="2">
      <t>ヌマヅ</t>
    </rPh>
    <rPh sb="2" eb="3">
      <t>ヒガシ</t>
    </rPh>
    <rPh sb="3" eb="5">
      <t>コウコウ</t>
    </rPh>
    <phoneticPr fontId="33"/>
  </si>
  <si>
    <t>沼津東高校C</t>
    <rPh sb="0" eb="2">
      <t>ヌマヅ</t>
    </rPh>
    <rPh sb="2" eb="3">
      <t>ヒガシ</t>
    </rPh>
    <rPh sb="3" eb="5">
      <t>コウコウ</t>
    </rPh>
    <phoneticPr fontId="33"/>
  </si>
  <si>
    <t>沼津東高校D</t>
    <rPh sb="0" eb="2">
      <t>ヌマヅ</t>
    </rPh>
    <rPh sb="2" eb="3">
      <t>ヒガシ</t>
    </rPh>
    <rPh sb="3" eb="5">
      <t>コウコウ</t>
    </rPh>
    <phoneticPr fontId="33"/>
  </si>
  <si>
    <t>小山</t>
    <rPh sb="0" eb="2">
      <t>コヤマ</t>
    </rPh>
    <phoneticPr fontId="3"/>
  </si>
  <si>
    <t>宰</t>
    <rPh sb="0" eb="1">
      <t>ツカサ</t>
    </rPh>
    <phoneticPr fontId="3"/>
  </si>
  <si>
    <t>コヤマ</t>
  </si>
  <si>
    <t>ツカサ</t>
  </si>
  <si>
    <t>小倉</t>
    <rPh sb="0" eb="2">
      <t>オグラ</t>
    </rPh>
    <phoneticPr fontId="3"/>
  </si>
  <si>
    <t>睦貴</t>
    <rPh sb="0" eb="1">
      <t>ムツ</t>
    </rPh>
    <rPh sb="1" eb="2">
      <t>キ</t>
    </rPh>
    <phoneticPr fontId="3"/>
  </si>
  <si>
    <t>オグラ</t>
  </si>
  <si>
    <t>ムツキ</t>
  </si>
  <si>
    <t>須田</t>
  </si>
  <si>
    <t>南月</t>
  </si>
  <si>
    <t>スダ</t>
  </si>
  <si>
    <t>ナツキ</t>
  </si>
  <si>
    <t>大翔</t>
    <rPh sb="0" eb="2">
      <t>ダイト</t>
    </rPh>
    <phoneticPr fontId="3"/>
  </si>
  <si>
    <t>ノナカ</t>
  </si>
  <si>
    <t>ダイト</t>
  </si>
  <si>
    <t>萩原康治</t>
    <rPh sb="0" eb="4">
      <t>ハギワラコウジ</t>
    </rPh>
    <phoneticPr fontId="33"/>
  </si>
  <si>
    <t>杉本由佳子</t>
    <rPh sb="0" eb="5">
      <t>スギモトユカコ</t>
    </rPh>
    <phoneticPr fontId="33"/>
  </si>
  <si>
    <t>亀山圭治</t>
    <rPh sb="0" eb="2">
      <t>カメヤマ</t>
    </rPh>
    <rPh sb="2" eb="4">
      <t>ケイジ</t>
    </rPh>
    <phoneticPr fontId="33"/>
  </si>
  <si>
    <t>沼津東高校A</t>
    <rPh sb="0" eb="5">
      <t>ヌマヅヒガシコウコウ</t>
    </rPh>
    <phoneticPr fontId="1"/>
  </si>
  <si>
    <t>沼津東高校B</t>
    <rPh sb="0" eb="5">
      <t>ヌマヅヒガシコウコウ</t>
    </rPh>
    <phoneticPr fontId="1"/>
  </si>
  <si>
    <t>沼津東高校C</t>
    <rPh sb="0" eb="5">
      <t>ヌマヅヒガシコウコウ</t>
    </rPh>
    <phoneticPr fontId="1"/>
  </si>
  <si>
    <t>秋山</t>
    <rPh sb="0" eb="2">
      <t>アキヤマ</t>
    </rPh>
    <phoneticPr fontId="3"/>
  </si>
  <si>
    <t>静那</t>
    <rPh sb="0" eb="2">
      <t>セイナ</t>
    </rPh>
    <phoneticPr fontId="3"/>
  </si>
  <si>
    <t>アキヤマ</t>
    <phoneticPr fontId="1"/>
  </si>
  <si>
    <t>シズナ</t>
    <phoneticPr fontId="1"/>
  </si>
  <si>
    <t>萩原康治</t>
    <rPh sb="0" eb="1">
      <t>ハギワラ</t>
    </rPh>
    <rPh sb="1" eb="3">
      <t>コウジ</t>
    </rPh>
    <phoneticPr fontId="1"/>
  </si>
  <si>
    <t>藤井</t>
    <rPh sb="0" eb="2">
      <t>フジイ</t>
    </rPh>
    <phoneticPr fontId="3"/>
  </si>
  <si>
    <t>凜</t>
    <rPh sb="0" eb="1">
      <t>リン</t>
    </rPh>
    <phoneticPr fontId="3"/>
  </si>
  <si>
    <t>フジイ</t>
    <phoneticPr fontId="1"/>
  </si>
  <si>
    <t>リン</t>
    <phoneticPr fontId="1"/>
  </si>
  <si>
    <t>杉本由佳子</t>
    <rPh sb="0" eb="4">
      <t>スギモトユカコ</t>
    </rPh>
    <phoneticPr fontId="1"/>
  </si>
  <si>
    <t>山本</t>
    <rPh sb="0" eb="2">
      <t>ヤマモト</t>
    </rPh>
    <phoneticPr fontId="3"/>
  </si>
  <si>
    <t>美羽</t>
    <rPh sb="0" eb="2">
      <t>ミワ</t>
    </rPh>
    <phoneticPr fontId="3"/>
  </si>
  <si>
    <t>ヤマモト</t>
    <phoneticPr fontId="1"/>
  </si>
  <si>
    <t>ミワ</t>
    <phoneticPr fontId="1"/>
  </si>
  <si>
    <t>亀山圭治</t>
    <rPh sb="0" eb="1">
      <t>カメヤマ</t>
    </rPh>
    <rPh sb="1" eb="3">
      <t>ケイジ</t>
    </rPh>
    <phoneticPr fontId="1"/>
  </si>
  <si>
    <t>沼津東高校A</t>
    <rPh sb="0" eb="2">
      <t>ヌマヅ</t>
    </rPh>
    <rPh sb="2" eb="3">
      <t>ヒガシ</t>
    </rPh>
    <rPh sb="3" eb="5">
      <t>コウコウ</t>
    </rPh>
    <phoneticPr fontId="1"/>
  </si>
  <si>
    <t>沼津東高校B</t>
    <rPh sb="0" eb="2">
      <t>ヌマヅ</t>
    </rPh>
    <rPh sb="2" eb="3">
      <t>ヒガシ</t>
    </rPh>
    <rPh sb="3" eb="5">
      <t>コウコウ</t>
    </rPh>
    <phoneticPr fontId="1"/>
  </si>
  <si>
    <t>灯</t>
    <rPh sb="0" eb="1">
      <t>アカリ</t>
    </rPh>
    <phoneticPr fontId="3"/>
  </si>
  <si>
    <t>金盛</t>
    <rPh sb="0" eb="2">
      <t>カナモリ</t>
    </rPh>
    <phoneticPr fontId="3"/>
  </si>
  <si>
    <t>悠宇和</t>
    <rPh sb="0" eb="1">
      <t>ハルカ</t>
    </rPh>
    <rPh sb="2" eb="3">
      <t>ワ</t>
    </rPh>
    <phoneticPr fontId="3"/>
  </si>
  <si>
    <t>村上</t>
    <rPh sb="0" eb="2">
      <t>ムラカミ</t>
    </rPh>
    <phoneticPr fontId="3"/>
  </si>
  <si>
    <t>晴香</t>
    <rPh sb="0" eb="2">
      <t>ハルカ</t>
    </rPh>
    <phoneticPr fontId="3"/>
  </si>
  <si>
    <t>根本</t>
    <rPh sb="0" eb="2">
      <t>ネモト</t>
    </rPh>
    <phoneticPr fontId="3"/>
  </si>
  <si>
    <t>祐美</t>
    <rPh sb="0" eb="2">
      <t>ユミ</t>
    </rPh>
    <phoneticPr fontId="3"/>
  </si>
  <si>
    <t>河崎</t>
    <rPh sb="0" eb="2">
      <t>カワサキ</t>
    </rPh>
    <phoneticPr fontId="3"/>
  </si>
  <si>
    <t>楓乃</t>
    <rPh sb="0" eb="1">
      <t>カエデ</t>
    </rPh>
    <rPh sb="1" eb="2">
      <t>ノ</t>
    </rPh>
    <phoneticPr fontId="3"/>
  </si>
  <si>
    <t>長倉</t>
    <rPh sb="0" eb="2">
      <t>ナガクラ</t>
    </rPh>
    <phoneticPr fontId="3"/>
  </si>
  <si>
    <t>理子</t>
    <rPh sb="0" eb="2">
      <t>リコ</t>
    </rPh>
    <phoneticPr fontId="3"/>
  </si>
  <si>
    <t>萩原康治</t>
    <rPh sb="0" eb="2">
      <t>ハギワラ</t>
    </rPh>
    <rPh sb="2" eb="4">
      <t>コウジ</t>
    </rPh>
    <phoneticPr fontId="1"/>
  </si>
  <si>
    <t>山田</t>
    <rPh sb="0" eb="2">
      <t>ヤマダ</t>
    </rPh>
    <phoneticPr fontId="3"/>
  </si>
  <si>
    <t>沙季</t>
    <rPh sb="0" eb="2">
      <t>サキ</t>
    </rPh>
    <phoneticPr fontId="3"/>
  </si>
  <si>
    <t>髙根</t>
    <rPh sb="0" eb="2">
      <t>タカネ</t>
    </rPh>
    <phoneticPr fontId="3"/>
  </si>
  <si>
    <t>眞実</t>
    <rPh sb="0" eb="2">
      <t>マミ</t>
    </rPh>
    <phoneticPr fontId="3"/>
  </si>
  <si>
    <t>新井</t>
    <rPh sb="0" eb="2">
      <t>アライ</t>
    </rPh>
    <phoneticPr fontId="3"/>
  </si>
  <si>
    <t>妃美季</t>
    <rPh sb="0" eb="1">
      <t>ヒ</t>
    </rPh>
    <rPh sb="1" eb="2">
      <t>ビ</t>
    </rPh>
    <rPh sb="2" eb="3">
      <t>キ</t>
    </rPh>
    <phoneticPr fontId="3"/>
  </si>
  <si>
    <t>髙木</t>
    <rPh sb="0" eb="2">
      <t>タカギ</t>
    </rPh>
    <phoneticPr fontId="3"/>
  </si>
  <si>
    <t>心結</t>
    <rPh sb="0" eb="2">
      <t>ミユ</t>
    </rPh>
    <phoneticPr fontId="3"/>
  </si>
  <si>
    <t>祝部</t>
    <rPh sb="0" eb="2">
      <t>ホウリ</t>
    </rPh>
    <phoneticPr fontId="3"/>
  </si>
  <si>
    <t>真由</t>
    <rPh sb="0" eb="2">
      <t>マユ</t>
    </rPh>
    <phoneticPr fontId="3"/>
  </si>
  <si>
    <t>飯田</t>
    <rPh sb="0" eb="2">
      <t>イイダ</t>
    </rPh>
    <phoneticPr fontId="3"/>
  </si>
  <si>
    <t>有珂</t>
    <rPh sb="0" eb="1">
      <t>アリ</t>
    </rPh>
    <rPh sb="1" eb="2">
      <t>カ</t>
    </rPh>
    <phoneticPr fontId="3"/>
  </si>
  <si>
    <t>杉本由佳子</t>
    <rPh sb="0" eb="5">
      <t>スギモトユカコ</t>
    </rPh>
    <phoneticPr fontId="1"/>
  </si>
  <si>
    <t>浜松西高校</t>
    <rPh sb="0" eb="2">
      <t>ハママツ</t>
    </rPh>
    <rPh sb="2" eb="3">
      <t>ニシ</t>
    </rPh>
    <rPh sb="3" eb="5">
      <t>コウコウ</t>
    </rPh>
    <phoneticPr fontId="1"/>
  </si>
  <si>
    <t>須網</t>
    <rPh sb="0" eb="1">
      <t>ス</t>
    </rPh>
    <rPh sb="1" eb="2">
      <t>モウ</t>
    </rPh>
    <phoneticPr fontId="4"/>
  </si>
  <si>
    <t>信</t>
    <rPh sb="0" eb="1">
      <t>シン</t>
    </rPh>
    <phoneticPr fontId="4"/>
  </si>
  <si>
    <t>飯田</t>
    <rPh sb="0" eb="2">
      <t>イイダ</t>
    </rPh>
    <phoneticPr fontId="4"/>
  </si>
  <si>
    <t>純晟</t>
    <rPh sb="0" eb="2">
      <t>ジュンセイ</t>
    </rPh>
    <phoneticPr fontId="4"/>
  </si>
  <si>
    <t>北川</t>
    <rPh sb="0" eb="2">
      <t>キタガワ</t>
    </rPh>
    <phoneticPr fontId="4"/>
  </si>
  <si>
    <t>湧大</t>
    <rPh sb="0" eb="1">
      <t>ワ</t>
    </rPh>
    <rPh sb="1" eb="2">
      <t>ダイ</t>
    </rPh>
    <phoneticPr fontId="4"/>
  </si>
  <si>
    <t>青山</t>
    <rPh sb="0" eb="2">
      <t>アオヤマ</t>
    </rPh>
    <phoneticPr fontId="4"/>
  </si>
  <si>
    <t>純也</t>
    <rPh sb="0" eb="2">
      <t>ジュンヤ</t>
    </rPh>
    <phoneticPr fontId="4"/>
  </si>
  <si>
    <t>金指</t>
    <rPh sb="0" eb="2">
      <t>カナサシ</t>
    </rPh>
    <phoneticPr fontId="4"/>
  </si>
  <si>
    <t>直宏</t>
    <rPh sb="0" eb="2">
      <t>ナオヒロ</t>
    </rPh>
    <phoneticPr fontId="4"/>
  </si>
  <si>
    <t>絆斗</t>
    <rPh sb="0" eb="1">
      <t>キズナ</t>
    </rPh>
    <rPh sb="1" eb="2">
      <t>ト</t>
    </rPh>
    <phoneticPr fontId="4"/>
  </si>
  <si>
    <t>中山</t>
    <rPh sb="0" eb="2">
      <t>ナカヤマ</t>
    </rPh>
    <phoneticPr fontId="4"/>
  </si>
  <si>
    <t>晃孝</t>
    <rPh sb="0" eb="1">
      <t>アキラ</t>
    </rPh>
    <rPh sb="1" eb="2">
      <t>タカ</t>
    </rPh>
    <phoneticPr fontId="4"/>
  </si>
  <si>
    <t>上西智紀</t>
    <rPh sb="0" eb="2">
      <t>ウエニシ</t>
    </rPh>
    <rPh sb="2" eb="4">
      <t>トモノリ</t>
    </rPh>
    <phoneticPr fontId="1"/>
  </si>
  <si>
    <t>森本</t>
    <rPh sb="0" eb="2">
      <t>モリモト</t>
    </rPh>
    <phoneticPr fontId="4"/>
  </si>
  <si>
    <t>朔矢</t>
    <rPh sb="0" eb="1">
      <t>サク</t>
    </rPh>
    <rPh sb="1" eb="2">
      <t>ヤ</t>
    </rPh>
    <phoneticPr fontId="4"/>
  </si>
  <si>
    <t>上西智樹</t>
    <rPh sb="0" eb="2">
      <t>ウエニシ</t>
    </rPh>
    <rPh sb="2" eb="4">
      <t>トモキ</t>
    </rPh>
    <phoneticPr fontId="1"/>
  </si>
  <si>
    <t>浜松西高校A</t>
    <rPh sb="0" eb="2">
      <t>ハママツ</t>
    </rPh>
    <rPh sb="2" eb="3">
      <t>ニシ</t>
    </rPh>
    <rPh sb="3" eb="5">
      <t>コウコウ</t>
    </rPh>
    <phoneticPr fontId="33"/>
  </si>
  <si>
    <t>浜松西高校B</t>
    <rPh sb="0" eb="2">
      <t>ハママツ</t>
    </rPh>
    <rPh sb="2" eb="3">
      <t>ニシ</t>
    </rPh>
    <rPh sb="3" eb="5">
      <t>コウコウ</t>
    </rPh>
    <phoneticPr fontId="33"/>
  </si>
  <si>
    <t>モリモト</t>
  </si>
  <si>
    <t>サクヤ</t>
  </si>
  <si>
    <t>上西智紀</t>
    <rPh sb="0" eb="2">
      <t>ウエニシ</t>
    </rPh>
    <rPh sb="2" eb="4">
      <t>トモノリ</t>
    </rPh>
    <phoneticPr fontId="33"/>
  </si>
  <si>
    <t>開陽</t>
    <rPh sb="0" eb="1">
      <t>ヒラク</t>
    </rPh>
    <rPh sb="1" eb="2">
      <t>ヨウ</t>
    </rPh>
    <phoneticPr fontId="4"/>
  </si>
  <si>
    <t>ウチヤマ</t>
    <phoneticPr fontId="33"/>
  </si>
  <si>
    <t>カイヨウ</t>
    <phoneticPr fontId="33"/>
  </si>
  <si>
    <t>浜松北高校</t>
    <rPh sb="0" eb="2">
      <t>ハママツ</t>
    </rPh>
    <rPh sb="2" eb="3">
      <t>キタ</t>
    </rPh>
    <rPh sb="3" eb="5">
      <t>コウコウ</t>
    </rPh>
    <phoneticPr fontId="1"/>
  </si>
  <si>
    <t>河口</t>
    <rPh sb="0" eb="2">
      <t>カワグチ</t>
    </rPh>
    <phoneticPr fontId="4"/>
  </si>
  <si>
    <t>達郎</t>
    <rPh sb="0" eb="2">
      <t>タツロウ</t>
    </rPh>
    <phoneticPr fontId="4"/>
  </si>
  <si>
    <t>賢人</t>
    <rPh sb="0" eb="1">
      <t>ケン</t>
    </rPh>
    <rPh sb="1" eb="2">
      <t>ヒト</t>
    </rPh>
    <phoneticPr fontId="4"/>
  </si>
  <si>
    <t>河邊</t>
    <rPh sb="0" eb="2">
      <t>カワベ</t>
    </rPh>
    <phoneticPr fontId="4"/>
  </si>
  <si>
    <t>翔太郎</t>
    <rPh sb="0" eb="2">
      <t>ショウタ</t>
    </rPh>
    <rPh sb="2" eb="3">
      <t>ロウ</t>
    </rPh>
    <phoneticPr fontId="4"/>
  </si>
  <si>
    <t>大智</t>
    <rPh sb="0" eb="2">
      <t>タイチ</t>
    </rPh>
    <phoneticPr fontId="4"/>
  </si>
  <si>
    <t>白柳</t>
    <rPh sb="0" eb="2">
      <t>シロヤナギ</t>
    </rPh>
    <phoneticPr fontId="4"/>
  </si>
  <si>
    <t>遼介</t>
    <rPh sb="0" eb="2">
      <t>リョウスケ</t>
    </rPh>
    <phoneticPr fontId="4"/>
  </si>
  <si>
    <t>白井</t>
    <rPh sb="0" eb="1">
      <t>シラ</t>
    </rPh>
    <rPh sb="1" eb="2">
      <t>イ</t>
    </rPh>
    <phoneticPr fontId="4"/>
  </si>
  <si>
    <t>陽徳</t>
    <rPh sb="0" eb="1">
      <t>ヨウ</t>
    </rPh>
    <rPh sb="1" eb="2">
      <t>トク</t>
    </rPh>
    <phoneticPr fontId="4"/>
  </si>
  <si>
    <t>戸川</t>
    <rPh sb="0" eb="2">
      <t>トガワ</t>
    </rPh>
    <phoneticPr fontId="4"/>
  </si>
  <si>
    <t>駿</t>
    <rPh sb="0" eb="1">
      <t>シュン</t>
    </rPh>
    <phoneticPr fontId="4"/>
  </si>
  <si>
    <t>槌屋健太</t>
    <rPh sb="0" eb="2">
      <t>ツチヤ</t>
    </rPh>
    <rPh sb="2" eb="4">
      <t>ケンタ</t>
    </rPh>
    <phoneticPr fontId="1"/>
  </si>
  <si>
    <t>浜松北高校A</t>
    <rPh sb="0" eb="2">
      <t>ハママツ</t>
    </rPh>
    <rPh sb="2" eb="3">
      <t>キタ</t>
    </rPh>
    <rPh sb="3" eb="5">
      <t>コウコウ</t>
    </rPh>
    <phoneticPr fontId="33"/>
  </si>
  <si>
    <t>浜松北高校B</t>
    <rPh sb="0" eb="2">
      <t>ハママツ</t>
    </rPh>
    <rPh sb="2" eb="3">
      <t>キタ</t>
    </rPh>
    <rPh sb="3" eb="5">
      <t>コウコウ</t>
    </rPh>
    <phoneticPr fontId="33"/>
  </si>
  <si>
    <t>浜松北高校C</t>
    <rPh sb="0" eb="2">
      <t>ハママツ</t>
    </rPh>
    <rPh sb="2" eb="3">
      <t>キタ</t>
    </rPh>
    <rPh sb="3" eb="5">
      <t>コウコウ</t>
    </rPh>
    <phoneticPr fontId="33"/>
  </si>
  <si>
    <t>浜松北高校D</t>
    <rPh sb="0" eb="2">
      <t>ハママツ</t>
    </rPh>
    <rPh sb="2" eb="3">
      <t>キタ</t>
    </rPh>
    <rPh sb="3" eb="5">
      <t>コウコウ</t>
    </rPh>
    <phoneticPr fontId="33"/>
  </si>
  <si>
    <t>トガワ</t>
    <phoneticPr fontId="33"/>
  </si>
  <si>
    <t>シュン</t>
    <phoneticPr fontId="33"/>
  </si>
  <si>
    <t>山本幸生</t>
    <rPh sb="0" eb="2">
      <t>ヤマモト</t>
    </rPh>
    <rPh sb="2" eb="4">
      <t>ユキオ</t>
    </rPh>
    <phoneticPr fontId="33"/>
  </si>
  <si>
    <t>白井</t>
    <rPh sb="0" eb="2">
      <t>シライ</t>
    </rPh>
    <phoneticPr fontId="4"/>
  </si>
  <si>
    <t>陽徳</t>
    <rPh sb="0" eb="1">
      <t>ハル</t>
    </rPh>
    <rPh sb="1" eb="2">
      <t>トク</t>
    </rPh>
    <phoneticPr fontId="4"/>
  </si>
  <si>
    <t>シライ</t>
  </si>
  <si>
    <t>ハルト</t>
  </si>
  <si>
    <t>見山</t>
    <rPh sb="0" eb="2">
      <t>ミヤマ</t>
    </rPh>
    <phoneticPr fontId="33"/>
  </si>
  <si>
    <t>涼輔</t>
    <rPh sb="0" eb="2">
      <t>リョウスケ</t>
    </rPh>
    <phoneticPr fontId="33"/>
  </si>
  <si>
    <t>ミヤマ</t>
    <phoneticPr fontId="33"/>
  </si>
  <si>
    <t>リョウスケ</t>
    <phoneticPr fontId="33"/>
  </si>
  <si>
    <t>水島</t>
    <rPh sb="0" eb="2">
      <t>ミズシマ</t>
    </rPh>
    <phoneticPr fontId="33"/>
  </si>
  <si>
    <t>凛</t>
    <rPh sb="0" eb="1">
      <t>リン</t>
    </rPh>
    <phoneticPr fontId="33"/>
  </si>
  <si>
    <t>ミズシマ</t>
    <phoneticPr fontId="33"/>
  </si>
  <si>
    <t>リン</t>
    <phoneticPr fontId="33"/>
  </si>
  <si>
    <t>安藝</t>
    <rPh sb="0" eb="2">
      <t>アキ</t>
    </rPh>
    <phoneticPr fontId="1"/>
  </si>
  <si>
    <t>日向</t>
    <rPh sb="0" eb="2">
      <t>ヒナタ</t>
    </rPh>
    <phoneticPr fontId="1"/>
  </si>
  <si>
    <t>アキ</t>
    <phoneticPr fontId="1"/>
  </si>
  <si>
    <t>ヒナタ</t>
    <phoneticPr fontId="1"/>
  </si>
  <si>
    <t>槌屋健太</t>
    <rPh sb="0" eb="1">
      <t>ツチヤ</t>
    </rPh>
    <rPh sb="1" eb="3">
      <t>ケンタ</t>
    </rPh>
    <phoneticPr fontId="1"/>
  </si>
  <si>
    <t>北野</t>
    <rPh sb="0" eb="2">
      <t>キタノ</t>
    </rPh>
    <phoneticPr fontId="4"/>
  </si>
  <si>
    <t>利歩</t>
    <rPh sb="0" eb="1">
      <t>トシ</t>
    </rPh>
    <rPh sb="1" eb="2">
      <t>アユミ</t>
    </rPh>
    <phoneticPr fontId="4"/>
  </si>
  <si>
    <t>岡本</t>
    <rPh sb="0" eb="2">
      <t>オカモト</t>
    </rPh>
    <phoneticPr fontId="4"/>
  </si>
  <si>
    <t>恵利花</t>
  </si>
  <si>
    <t>牛田</t>
    <rPh sb="0" eb="2">
      <t>ウシダ</t>
    </rPh>
    <phoneticPr fontId="4"/>
  </si>
  <si>
    <t>千晴</t>
    <rPh sb="0" eb="2">
      <t>チハル</t>
    </rPh>
    <phoneticPr fontId="4"/>
  </si>
  <si>
    <t>山本幸生</t>
    <rPh sb="0" eb="2">
      <t>ヤマモト</t>
    </rPh>
    <rPh sb="2" eb="4">
      <t>ユキオ</t>
    </rPh>
    <phoneticPr fontId="1"/>
  </si>
  <si>
    <t>小笠原</t>
    <rPh sb="0" eb="3">
      <t>オガサワラ</t>
    </rPh>
    <phoneticPr fontId="4"/>
  </si>
  <si>
    <t>実玖</t>
    <rPh sb="0" eb="2">
      <t>ミク</t>
    </rPh>
    <phoneticPr fontId="4"/>
  </si>
  <si>
    <t>真央</t>
    <rPh sb="0" eb="2">
      <t>マオ</t>
    </rPh>
    <phoneticPr fontId="4"/>
  </si>
  <si>
    <t>宮澤</t>
    <rPh sb="0" eb="2">
      <t>ミヤザワ</t>
    </rPh>
    <phoneticPr fontId="4"/>
  </si>
  <si>
    <t>心菜</t>
    <rPh sb="0" eb="2">
      <t>ココロナ</t>
    </rPh>
    <phoneticPr fontId="4"/>
  </si>
  <si>
    <t>ミヤザワ</t>
    <phoneticPr fontId="1"/>
  </si>
  <si>
    <t>コナ</t>
    <phoneticPr fontId="1"/>
  </si>
  <si>
    <t>上西智紀</t>
    <rPh sb="0" eb="3">
      <t>ウエニシトモキ</t>
    </rPh>
    <phoneticPr fontId="1"/>
  </si>
  <si>
    <t>湖西高校A</t>
    <rPh sb="0" eb="2">
      <t>コサイ</t>
    </rPh>
    <rPh sb="2" eb="4">
      <t>コウコウ</t>
    </rPh>
    <phoneticPr fontId="1"/>
  </si>
  <si>
    <t>九里</t>
    <rPh sb="0" eb="2">
      <t>クノリ</t>
    </rPh>
    <phoneticPr fontId="1"/>
  </si>
  <si>
    <t>美羽</t>
    <rPh sb="0" eb="2">
      <t>ミワ</t>
    </rPh>
    <phoneticPr fontId="1"/>
  </si>
  <si>
    <t>クノリ</t>
    <phoneticPr fontId="1"/>
  </si>
  <si>
    <t>ミユ</t>
    <phoneticPr fontId="1"/>
  </si>
  <si>
    <t>鈴木研也</t>
    <rPh sb="0" eb="1">
      <t>スズキ</t>
    </rPh>
    <rPh sb="1" eb="3">
      <t>ケンヤ</t>
    </rPh>
    <phoneticPr fontId="1"/>
  </si>
  <si>
    <t>湖西高校B</t>
    <rPh sb="0" eb="2">
      <t>コサイ</t>
    </rPh>
    <rPh sb="2" eb="4">
      <t>コウコウ</t>
    </rPh>
    <phoneticPr fontId="1"/>
  </si>
  <si>
    <t>土方</t>
    <rPh sb="0" eb="2">
      <t>ヒジカタ</t>
    </rPh>
    <phoneticPr fontId="1"/>
  </si>
  <si>
    <t>結貴</t>
    <rPh sb="0" eb="1">
      <t>ムス</t>
    </rPh>
    <phoneticPr fontId="1"/>
  </si>
  <si>
    <t>ヒジカタ</t>
    <phoneticPr fontId="1"/>
  </si>
  <si>
    <t>ユキ</t>
    <phoneticPr fontId="1"/>
  </si>
  <si>
    <t>湖西高校A</t>
    <rPh sb="0" eb="2">
      <t>コサイ</t>
    </rPh>
    <rPh sb="2" eb="4">
      <t>コウコウ</t>
    </rPh>
    <phoneticPr fontId="33"/>
  </si>
  <si>
    <t>湖西高校B</t>
    <rPh sb="0" eb="2">
      <t>コサイ</t>
    </rPh>
    <rPh sb="2" eb="4">
      <t>コウコウ</t>
    </rPh>
    <phoneticPr fontId="33"/>
  </si>
  <si>
    <t>湖西高校C</t>
    <rPh sb="0" eb="2">
      <t>コサイ</t>
    </rPh>
    <rPh sb="2" eb="4">
      <t>コウコウ</t>
    </rPh>
    <phoneticPr fontId="33"/>
  </si>
  <si>
    <t>イシダ</t>
    <phoneticPr fontId="33"/>
  </si>
  <si>
    <t>ガクト</t>
    <phoneticPr fontId="33"/>
  </si>
  <si>
    <t>鈴木研也</t>
    <rPh sb="0" eb="2">
      <t>スズキ</t>
    </rPh>
    <rPh sb="2" eb="4">
      <t>ケンヤ</t>
    </rPh>
    <phoneticPr fontId="33"/>
  </si>
  <si>
    <t>モリヤ</t>
    <phoneticPr fontId="33"/>
  </si>
  <si>
    <t>タクト</t>
    <phoneticPr fontId="33"/>
  </si>
  <si>
    <t>ナカムラ</t>
    <phoneticPr fontId="33"/>
  </si>
  <si>
    <t>セイヤ</t>
    <phoneticPr fontId="33"/>
  </si>
  <si>
    <t>第７１回静岡県高等学校総合体育大会ボート競技（第２次予選）</t>
    <rPh sb="0" eb="1">
      <t>ダイ</t>
    </rPh>
    <rPh sb="3" eb="4">
      <t>カイ</t>
    </rPh>
    <rPh sb="23" eb="24">
      <t>ダイ</t>
    </rPh>
    <rPh sb="25" eb="26">
      <t>ジ</t>
    </rPh>
    <rPh sb="26" eb="28">
      <t>ヨセン</t>
    </rPh>
    <phoneticPr fontId="1"/>
  </si>
  <si>
    <t>令和５年</t>
    <rPh sb="0" eb="1">
      <t>レイ</t>
    </rPh>
    <rPh sb="1" eb="2">
      <t>ワ</t>
    </rPh>
    <rPh sb="3" eb="4">
      <t>トシ</t>
    </rPh>
    <phoneticPr fontId="1"/>
  </si>
  <si>
    <t>５　月</t>
    <rPh sb="2" eb="3">
      <t>ガツ</t>
    </rPh>
    <phoneticPr fontId="1"/>
  </si>
  <si>
    <t>予１着</t>
    <rPh sb="0" eb="1">
      <t>ヨ</t>
    </rPh>
    <rPh sb="2" eb="3">
      <t>チャク</t>
    </rPh>
    <phoneticPr fontId="1"/>
  </si>
  <si>
    <t>予２着</t>
    <rPh sb="0" eb="1">
      <t>ヨ</t>
    </rPh>
    <rPh sb="2" eb="3">
      <t>チャク</t>
    </rPh>
    <phoneticPr fontId="1"/>
  </si>
  <si>
    <t>予４着</t>
    <rPh sb="0" eb="1">
      <t>ヨ</t>
    </rPh>
    <rPh sb="2" eb="3">
      <t>チャク</t>
    </rPh>
    <phoneticPr fontId="1"/>
  </si>
  <si>
    <t>予３着</t>
    <rPh sb="0" eb="1">
      <t>ヨ</t>
    </rPh>
    <rPh sb="2" eb="3">
      <t>チャク</t>
    </rPh>
    <phoneticPr fontId="1"/>
  </si>
  <si>
    <t>　予選７組　(２)</t>
    <rPh sb="1" eb="3">
      <t>ヨセン</t>
    </rPh>
    <rPh sb="4" eb="5">
      <t>クミ</t>
    </rPh>
    <phoneticPr fontId="1"/>
  </si>
  <si>
    <t>計８名</t>
    <rPh sb="0" eb="1">
      <t>ケイ</t>
    </rPh>
    <rPh sb="2" eb="3">
      <t>メイ</t>
    </rPh>
    <phoneticPr fontId="1"/>
  </si>
  <si>
    <t>M4x+</t>
    <phoneticPr fontId="1"/>
  </si>
  <si>
    <t>各クルー3名</t>
    <rPh sb="0" eb="1">
      <t>カク</t>
    </rPh>
    <rPh sb="5" eb="6">
      <t>メイ</t>
    </rPh>
    <phoneticPr fontId="1"/>
  </si>
  <si>
    <t>　敗者復活１組　(２)</t>
    <rPh sb="1" eb="3">
      <t>ハイシャ</t>
    </rPh>
    <rPh sb="3" eb="5">
      <t>フッカツ</t>
    </rPh>
    <rPh sb="6" eb="7">
      <t>クミ</t>
    </rPh>
    <phoneticPr fontId="1"/>
  </si>
  <si>
    <t>　敗者復活２組　(２）</t>
    <rPh sb="1" eb="3">
      <t>ハイシャ</t>
    </rPh>
    <rPh sb="3" eb="5">
      <t>フッカツ</t>
    </rPh>
    <rPh sb="6" eb="7">
      <t>クミ</t>
    </rPh>
    <phoneticPr fontId="1"/>
  </si>
  <si>
    <t>　敗者復活３組　(２)</t>
    <rPh sb="1" eb="3">
      <t>ハイシャ</t>
    </rPh>
    <rPh sb="3" eb="5">
      <t>フッカツ</t>
    </rPh>
    <rPh sb="6" eb="7">
      <t>クミ</t>
    </rPh>
    <phoneticPr fontId="1"/>
  </si>
  <si>
    <t>　敗者復活４組　(２）</t>
    <rPh sb="1" eb="3">
      <t>ハイシャ</t>
    </rPh>
    <rPh sb="3" eb="5">
      <t>フッカツ</t>
    </rPh>
    <rPh sb="6" eb="7">
      <t>クミ</t>
    </rPh>
    <phoneticPr fontId="1"/>
  </si>
  <si>
    <t>　敗者復活５組　(２）</t>
    <rPh sb="1" eb="3">
      <t>ハイシャ</t>
    </rPh>
    <rPh sb="3" eb="5">
      <t>フッカツ</t>
    </rPh>
    <rPh sb="6" eb="7">
      <t>クミ</t>
    </rPh>
    <phoneticPr fontId="1"/>
  </si>
  <si>
    <t>W4x+</t>
    <phoneticPr fontId="1"/>
  </si>
  <si>
    <t>各クルー2名</t>
    <rPh sb="0" eb="1">
      <t>カク</t>
    </rPh>
    <rPh sb="5" eb="6">
      <t>メイ</t>
    </rPh>
    <phoneticPr fontId="1"/>
  </si>
  <si>
    <t>選　　手</t>
    <phoneticPr fontId="1"/>
  </si>
  <si>
    <t>浜松湖南</t>
    <rPh sb="0" eb="2">
      <t>ハママツ</t>
    </rPh>
    <rPh sb="2" eb="4">
      <t>コナン</t>
    </rPh>
    <phoneticPr fontId="1"/>
  </si>
  <si>
    <t>1年男子</t>
    <rPh sb="1" eb="2">
      <t>ネン</t>
    </rPh>
    <rPh sb="2" eb="4">
      <t>ダンシ</t>
    </rPh>
    <phoneticPr fontId="1"/>
  </si>
  <si>
    <t>計15名</t>
    <rPh sb="0" eb="1">
      <t>ケイ</t>
    </rPh>
    <rPh sb="3" eb="4">
      <t>メイ</t>
    </rPh>
    <phoneticPr fontId="1"/>
  </si>
  <si>
    <t>浜松北</t>
    <rPh sb="0" eb="2">
      <t>ハママツ</t>
    </rPh>
    <rPh sb="2" eb="3">
      <t>キタ</t>
    </rPh>
    <phoneticPr fontId="1"/>
  </si>
  <si>
    <t>1年女子</t>
    <rPh sb="1" eb="2">
      <t>ネン</t>
    </rPh>
    <rPh sb="2" eb="4">
      <t>ジョシ</t>
    </rPh>
    <phoneticPr fontId="1"/>
  </si>
  <si>
    <t>5名</t>
    <rPh sb="1" eb="2">
      <t>メイ</t>
    </rPh>
    <phoneticPr fontId="1"/>
  </si>
  <si>
    <t>天竜</t>
    <rPh sb="0" eb="2">
      <t>テンリュウ</t>
    </rPh>
    <phoneticPr fontId="1"/>
  </si>
  <si>
    <t>新居、天竜</t>
    <rPh sb="0" eb="2">
      <t>アライ</t>
    </rPh>
    <rPh sb="3" eb="5">
      <t>テンリュウ</t>
    </rPh>
    <phoneticPr fontId="1"/>
  </si>
  <si>
    <t>1年生</t>
    <rPh sb="1" eb="3">
      <t>ネンセイ</t>
    </rPh>
    <phoneticPr fontId="1"/>
  </si>
  <si>
    <t>浜松大平台</t>
    <rPh sb="0" eb="2">
      <t>ハママツ</t>
    </rPh>
    <rPh sb="2" eb="5">
      <t>オオヒラダイ</t>
    </rPh>
    <phoneticPr fontId="1"/>
  </si>
  <si>
    <t>W1x</t>
    <phoneticPr fontId="1"/>
  </si>
  <si>
    <t>予選敗退者</t>
    <rPh sb="0" eb="2">
      <t>ヨセン</t>
    </rPh>
    <rPh sb="2" eb="4">
      <t>ハイタイ</t>
    </rPh>
    <rPh sb="4" eb="5">
      <t>シャ</t>
    </rPh>
    <phoneticPr fontId="1"/>
  </si>
  <si>
    <t>1年女子2名</t>
    <rPh sb="1" eb="2">
      <t>ネン</t>
    </rPh>
    <rPh sb="2" eb="4">
      <t>ジョシ</t>
    </rPh>
    <rPh sb="5" eb="6">
      <t>メイ</t>
    </rPh>
    <phoneticPr fontId="1"/>
  </si>
  <si>
    <t>沼津東</t>
    <rPh sb="0" eb="2">
      <t>ヌマヅ</t>
    </rPh>
    <rPh sb="2" eb="3">
      <t>ヒガシ</t>
    </rPh>
    <phoneticPr fontId="1"/>
  </si>
  <si>
    <t>河口義治</t>
    <rPh sb="0" eb="2">
      <t>カワグチ</t>
    </rPh>
    <rPh sb="2" eb="4">
      <t>ヨシハル</t>
    </rPh>
    <phoneticPr fontId="33"/>
  </si>
  <si>
    <t>(3)</t>
    <phoneticPr fontId="1"/>
  </si>
  <si>
    <t>(1)</t>
    <phoneticPr fontId="1"/>
  </si>
  <si>
    <t>心菜</t>
    <rPh sb="0" eb="1">
      <t>ココロ</t>
    </rPh>
    <rPh sb="1" eb="2">
      <t>ナ</t>
    </rPh>
    <phoneticPr fontId="4"/>
  </si>
  <si>
    <t>相馬</t>
    <rPh sb="0" eb="2">
      <t>ソウマ</t>
    </rPh>
    <phoneticPr fontId="18"/>
  </si>
  <si>
    <t>将瑛</t>
    <rPh sb="0" eb="1">
      <t>ショウ</t>
    </rPh>
    <rPh sb="1" eb="2">
      <t>エイ</t>
    </rPh>
    <phoneticPr fontId="18"/>
  </si>
  <si>
    <t>松島</t>
    <rPh sb="0" eb="2">
      <t>マツシマ</t>
    </rPh>
    <phoneticPr fontId="18"/>
  </si>
  <si>
    <t>煌起</t>
    <rPh sb="0" eb="1">
      <t>コウ</t>
    </rPh>
    <rPh sb="1" eb="2">
      <t>キ</t>
    </rPh>
    <phoneticPr fontId="18"/>
  </si>
  <si>
    <t>名波</t>
    <rPh sb="0" eb="2">
      <t>ナナミ</t>
    </rPh>
    <phoneticPr fontId="18"/>
  </si>
  <si>
    <t>虹太朗</t>
    <rPh sb="0" eb="1">
      <t>ニジ</t>
    </rPh>
    <rPh sb="1" eb="3">
      <t>タロウ</t>
    </rPh>
    <phoneticPr fontId="18"/>
  </si>
  <si>
    <t>(5)</t>
    <phoneticPr fontId="33"/>
  </si>
  <si>
    <t>(5)</t>
    <phoneticPr fontId="1"/>
  </si>
  <si>
    <t>予①</t>
    <rPh sb="0" eb="1">
      <t>ヨ</t>
    </rPh>
    <phoneticPr fontId="1"/>
  </si>
  <si>
    <t>組合せは前のレースのタイム順で決める。</t>
    <rPh sb="0" eb="2">
      <t>クミアワ</t>
    </rPh>
    <rPh sb="4" eb="5">
      <t>マエ</t>
    </rPh>
    <rPh sb="13" eb="14">
      <t>ジュン</t>
    </rPh>
    <rPh sb="15" eb="16">
      <t>キ</t>
    </rPh>
    <phoneticPr fontId="1"/>
  </si>
  <si>
    <t>予②</t>
    <rPh sb="0" eb="1">
      <t>ヨ</t>
    </rPh>
    <phoneticPr fontId="1"/>
  </si>
  <si>
    <t>予③</t>
    <rPh sb="0" eb="1">
      <t>ヨ</t>
    </rPh>
    <phoneticPr fontId="1"/>
  </si>
  <si>
    <t>予④</t>
    <rPh sb="0" eb="1">
      <t>ヨ</t>
    </rPh>
    <phoneticPr fontId="1"/>
  </si>
  <si>
    <t>予⑤</t>
    <rPh sb="0" eb="1">
      <t>ヨ</t>
    </rPh>
    <phoneticPr fontId="1"/>
  </si>
  <si>
    <t>予⑥</t>
    <rPh sb="0" eb="1">
      <t>ヨ</t>
    </rPh>
    <phoneticPr fontId="1"/>
  </si>
  <si>
    <t>敗①</t>
    <rPh sb="0" eb="1">
      <t>ハイ</t>
    </rPh>
    <phoneticPr fontId="1"/>
  </si>
  <si>
    <t>敗④</t>
    <rPh sb="0" eb="1">
      <t>ハイ</t>
    </rPh>
    <phoneticPr fontId="1"/>
  </si>
  <si>
    <t>敗②</t>
    <rPh sb="0" eb="1">
      <t>ハイ</t>
    </rPh>
    <phoneticPr fontId="1"/>
  </si>
  <si>
    <t>敗③</t>
    <rPh sb="0" eb="1">
      <t>ハイ</t>
    </rPh>
    <phoneticPr fontId="1"/>
  </si>
  <si>
    <t>敗⑤</t>
    <rPh sb="0" eb="1">
      <t>ハイ</t>
    </rPh>
    <phoneticPr fontId="1"/>
  </si>
  <si>
    <t>敗⑥</t>
    <rPh sb="0" eb="1">
      <t>ハイ</t>
    </rPh>
    <phoneticPr fontId="1"/>
  </si>
  <si>
    <t>準①</t>
    <rPh sb="0" eb="1">
      <t>ジュン</t>
    </rPh>
    <phoneticPr fontId="1"/>
  </si>
  <si>
    <t>準②</t>
    <rPh sb="0" eb="1">
      <t>ジュン</t>
    </rPh>
    <phoneticPr fontId="1"/>
  </si>
  <si>
    <t>準③</t>
    <rPh sb="0" eb="1">
      <t>ジュン</t>
    </rPh>
    <phoneticPr fontId="1"/>
  </si>
  <si>
    <t>準④</t>
    <rPh sb="0" eb="1">
      <t>ジュン</t>
    </rPh>
    <phoneticPr fontId="1"/>
  </si>
  <si>
    <t>準⑥</t>
    <rPh sb="0" eb="1">
      <t>ジュン</t>
    </rPh>
    <phoneticPr fontId="1"/>
  </si>
  <si>
    <t>準⑤</t>
    <rPh sb="0" eb="1">
      <t>ジュン</t>
    </rPh>
    <phoneticPr fontId="1"/>
  </si>
  <si>
    <t>予落①</t>
    <rPh sb="0" eb="1">
      <t>ヨ</t>
    </rPh>
    <rPh sb="1" eb="2">
      <t>ラク</t>
    </rPh>
    <phoneticPr fontId="1"/>
  </si>
  <si>
    <t>予落④</t>
    <rPh sb="0" eb="1">
      <t>ヨ</t>
    </rPh>
    <rPh sb="1" eb="2">
      <t>ラク</t>
    </rPh>
    <phoneticPr fontId="1"/>
  </si>
  <si>
    <t>予落②</t>
    <rPh sb="0" eb="1">
      <t>ヨ</t>
    </rPh>
    <rPh sb="1" eb="2">
      <t>ラク</t>
    </rPh>
    <phoneticPr fontId="1"/>
  </si>
  <si>
    <t>予落③</t>
    <rPh sb="0" eb="1">
      <t>ヨ</t>
    </rPh>
    <rPh sb="1" eb="2">
      <t>ラク</t>
    </rPh>
    <phoneticPr fontId="1"/>
  </si>
  <si>
    <t>予落⑤</t>
    <rPh sb="0" eb="1">
      <t>ヨ</t>
    </rPh>
    <rPh sb="1" eb="2">
      <t>ラク</t>
    </rPh>
    <phoneticPr fontId="1"/>
  </si>
  <si>
    <t>予落⑨</t>
    <rPh sb="0" eb="1">
      <t>ヨ</t>
    </rPh>
    <rPh sb="1" eb="2">
      <t>ラク</t>
    </rPh>
    <phoneticPr fontId="1"/>
  </si>
  <si>
    <t>予落⑧</t>
    <rPh sb="0" eb="1">
      <t>ヨ</t>
    </rPh>
    <rPh sb="1" eb="2">
      <t>ラク</t>
    </rPh>
    <phoneticPr fontId="1"/>
  </si>
  <si>
    <t>予落⑥</t>
    <rPh sb="0" eb="1">
      <t>ヨ</t>
    </rPh>
    <rPh sb="1" eb="2">
      <t>ラク</t>
    </rPh>
    <phoneticPr fontId="1"/>
  </si>
  <si>
    <t>予落⑦</t>
    <rPh sb="0" eb="1">
      <t>ヨ</t>
    </rPh>
    <rPh sb="1" eb="2">
      <t>ラク</t>
    </rPh>
    <phoneticPr fontId="1"/>
  </si>
  <si>
    <t>予落①</t>
    <rPh sb="0" eb="1">
      <t>ヨ</t>
    </rPh>
    <rPh sb="1" eb="2">
      <t>ラク</t>
    </rPh>
    <phoneticPr fontId="1"/>
  </si>
  <si>
    <t>予落②</t>
    <rPh sb="0" eb="1">
      <t>ヨ</t>
    </rPh>
    <rPh sb="1" eb="2">
      <t>ラク</t>
    </rPh>
    <phoneticPr fontId="1"/>
  </si>
  <si>
    <t>予落③</t>
    <rPh sb="0" eb="1">
      <t>ヨ</t>
    </rPh>
    <rPh sb="1" eb="2">
      <t>ラク</t>
    </rPh>
    <phoneticPr fontId="1"/>
  </si>
  <si>
    <t>予落④</t>
    <phoneticPr fontId="1"/>
  </si>
  <si>
    <t>予落⑤</t>
    <phoneticPr fontId="1"/>
  </si>
  <si>
    <t>予落⑥</t>
    <phoneticPr fontId="1"/>
  </si>
  <si>
    <t>予落⑦</t>
    <phoneticPr fontId="1"/>
  </si>
  <si>
    <t>予落⑧</t>
    <phoneticPr fontId="1"/>
  </si>
  <si>
    <t>予落⑨</t>
    <phoneticPr fontId="1"/>
  </si>
  <si>
    <t>予落⑩</t>
    <phoneticPr fontId="1"/>
  </si>
  <si>
    <t>予落⑪</t>
    <phoneticPr fontId="1"/>
  </si>
  <si>
    <t>予落⑫</t>
    <phoneticPr fontId="1"/>
  </si>
  <si>
    <t>予落⑬</t>
    <phoneticPr fontId="1"/>
  </si>
  <si>
    <t>予落⑭</t>
    <rPh sb="0" eb="2">
      <t>ヨラク</t>
    </rPh>
    <phoneticPr fontId="1"/>
  </si>
  <si>
    <t>予落⑮</t>
    <phoneticPr fontId="1"/>
  </si>
  <si>
    <t>予落⑯</t>
    <phoneticPr fontId="1"/>
  </si>
  <si>
    <t>予落⑰</t>
    <phoneticPr fontId="1"/>
  </si>
  <si>
    <t>予落⑱</t>
    <phoneticPr fontId="1"/>
  </si>
  <si>
    <t>予落⑲</t>
    <rPh sb="0" eb="2">
      <t>ヨラク</t>
    </rPh>
    <phoneticPr fontId="1"/>
  </si>
  <si>
    <t>予落⑳</t>
    <rPh sb="0" eb="2">
      <t>ヨラク</t>
    </rPh>
    <phoneticPr fontId="1"/>
  </si>
  <si>
    <t>予落㉑</t>
    <rPh sb="0" eb="2">
      <t>ヨラク</t>
    </rPh>
    <phoneticPr fontId="1"/>
  </si>
  <si>
    <t>予落㉒</t>
    <rPh sb="0" eb="2">
      <t>ヨラク</t>
    </rPh>
    <phoneticPr fontId="1"/>
  </si>
  <si>
    <t>予落㉓</t>
    <rPh sb="0" eb="2">
      <t>ヨラク</t>
    </rPh>
    <phoneticPr fontId="1"/>
  </si>
  <si>
    <t>予落㉔</t>
    <rPh sb="0" eb="2">
      <t>ヨラク</t>
    </rPh>
    <phoneticPr fontId="1"/>
  </si>
  <si>
    <t>予落㉕</t>
    <rPh sb="0" eb="2">
      <t>ヨラク</t>
    </rPh>
    <phoneticPr fontId="1"/>
  </si>
  <si>
    <t>予落㉖</t>
    <rPh sb="0" eb="2">
      <t>ヨラク</t>
    </rPh>
    <phoneticPr fontId="1"/>
  </si>
  <si>
    <t>予落㉗</t>
    <rPh sb="0" eb="2">
      <t>ヨラク</t>
    </rPh>
    <phoneticPr fontId="1"/>
  </si>
  <si>
    <t>予①</t>
    <rPh sb="0" eb="1">
      <t>ヨ</t>
    </rPh>
    <phoneticPr fontId="1"/>
  </si>
  <si>
    <t>予②</t>
    <rPh sb="0" eb="1">
      <t>ヨ</t>
    </rPh>
    <phoneticPr fontId="1"/>
  </si>
  <si>
    <t>予③</t>
    <rPh sb="0" eb="1">
      <t>ヨ</t>
    </rPh>
    <phoneticPr fontId="1"/>
  </si>
  <si>
    <t>予④</t>
    <rPh sb="0" eb="1">
      <t>ヨ</t>
    </rPh>
    <phoneticPr fontId="1"/>
  </si>
  <si>
    <t>予⑤</t>
    <rPh sb="0" eb="1">
      <t>ヨ</t>
    </rPh>
    <phoneticPr fontId="1"/>
  </si>
  <si>
    <t>予⑥</t>
    <rPh sb="0" eb="1">
      <t>ヨ</t>
    </rPh>
    <phoneticPr fontId="1"/>
  </si>
  <si>
    <t>予⑦</t>
    <rPh sb="0" eb="1">
      <t>ヨ</t>
    </rPh>
    <phoneticPr fontId="1"/>
  </si>
  <si>
    <t>予⑧</t>
    <rPh sb="0" eb="1">
      <t>ヨ</t>
    </rPh>
    <phoneticPr fontId="1"/>
  </si>
  <si>
    <t>予⑨</t>
    <rPh sb="0" eb="1">
      <t>ヨ</t>
    </rPh>
    <phoneticPr fontId="1"/>
  </si>
  <si>
    <t>予⑩</t>
    <rPh sb="0" eb="1">
      <t>ヨ</t>
    </rPh>
    <phoneticPr fontId="1"/>
  </si>
  <si>
    <t>予⑪</t>
    <rPh sb="0" eb="1">
      <t>ヨ</t>
    </rPh>
    <phoneticPr fontId="1"/>
  </si>
  <si>
    <t>予⑫</t>
    <rPh sb="0" eb="1">
      <t>ヨ</t>
    </rPh>
    <phoneticPr fontId="1"/>
  </si>
  <si>
    <t>予⑬</t>
    <rPh sb="0" eb="1">
      <t>ヨ</t>
    </rPh>
    <phoneticPr fontId="1"/>
  </si>
  <si>
    <t>予⑭</t>
    <rPh sb="0" eb="1">
      <t>ヨ</t>
    </rPh>
    <phoneticPr fontId="1"/>
  </si>
  <si>
    <t>敗①</t>
    <rPh sb="0" eb="1">
      <t>ハイ</t>
    </rPh>
    <phoneticPr fontId="1"/>
  </si>
  <si>
    <t>敗②</t>
    <rPh sb="0" eb="1">
      <t>ハイ</t>
    </rPh>
    <phoneticPr fontId="1"/>
  </si>
  <si>
    <t>敗③</t>
    <rPh sb="0" eb="1">
      <t>ハイ</t>
    </rPh>
    <phoneticPr fontId="1"/>
  </si>
  <si>
    <t>敗④</t>
    <rPh sb="0" eb="1">
      <t>ハイ</t>
    </rPh>
    <phoneticPr fontId="1"/>
  </si>
  <si>
    <t>敗⑦</t>
    <rPh sb="0" eb="1">
      <t>ハイ</t>
    </rPh>
    <phoneticPr fontId="1"/>
  </si>
  <si>
    <t>敗⑧</t>
    <rPh sb="0" eb="1">
      <t>ハイ</t>
    </rPh>
    <phoneticPr fontId="1"/>
  </si>
  <si>
    <t>敗⑨</t>
    <rPh sb="0" eb="1">
      <t>ハイ</t>
    </rPh>
    <phoneticPr fontId="1"/>
  </si>
  <si>
    <t>敗⑩</t>
    <rPh sb="0" eb="1">
      <t>ハイ</t>
    </rPh>
    <phoneticPr fontId="1"/>
  </si>
  <si>
    <t>予落⑦</t>
    <phoneticPr fontId="1"/>
  </si>
  <si>
    <t>予③</t>
    <phoneticPr fontId="1"/>
  </si>
  <si>
    <t>予⑥</t>
    <phoneticPr fontId="1"/>
  </si>
  <si>
    <t>予①</t>
    <phoneticPr fontId="1"/>
  </si>
  <si>
    <t>予②</t>
    <phoneticPr fontId="1"/>
  </si>
  <si>
    <t>予④</t>
    <phoneticPr fontId="1"/>
  </si>
  <si>
    <t>予⑤</t>
    <phoneticPr fontId="1"/>
  </si>
  <si>
    <t>　敗者復活１組　(３)</t>
    <rPh sb="1" eb="3">
      <t>ハイシャ</t>
    </rPh>
    <rPh sb="3" eb="5">
      <t>フッカツ</t>
    </rPh>
    <rPh sb="6" eb="7">
      <t>クミ</t>
    </rPh>
    <phoneticPr fontId="1"/>
  </si>
  <si>
    <t>　敗者復活２組　(３）</t>
    <rPh sb="1" eb="3">
      <t>ハイシャ</t>
    </rPh>
    <rPh sb="3" eb="5">
      <t>フッカツ</t>
    </rPh>
    <rPh sb="6" eb="7">
      <t>クミ</t>
    </rPh>
    <phoneticPr fontId="1"/>
  </si>
  <si>
    <t>　準決勝１組　(１)</t>
    <rPh sb="1" eb="4">
      <t>ジュンケッショウ</t>
    </rPh>
    <rPh sb="5" eb="6">
      <t>クミ</t>
    </rPh>
    <phoneticPr fontId="1"/>
  </si>
  <si>
    <t>　準決勝２組　(１)</t>
    <rPh sb="1" eb="4">
      <t>ジュンケッショウ</t>
    </rPh>
    <rPh sb="5" eb="6">
      <t>クミ</t>
    </rPh>
    <phoneticPr fontId="1"/>
  </si>
  <si>
    <t>　準決勝３組　(１)</t>
    <rPh sb="1" eb="4">
      <t>ジュンケッショウ</t>
    </rPh>
    <rPh sb="5" eb="6">
      <t>クミ</t>
    </rPh>
    <phoneticPr fontId="1"/>
  </si>
  <si>
    <t>　準決勝４組　(１)</t>
    <rPh sb="1" eb="4">
      <t>ジュンケッショウ</t>
    </rPh>
    <rPh sb="5" eb="6">
      <t>クミ</t>
    </rPh>
    <phoneticPr fontId="1"/>
  </si>
  <si>
    <t>　準決勝５組　(１)</t>
    <rPh sb="1" eb="4">
      <t>ジュンケッショウ</t>
    </rPh>
    <rPh sb="5" eb="6">
      <t>クミ</t>
    </rPh>
    <phoneticPr fontId="1"/>
  </si>
  <si>
    <t>　準決勝６組　(１)</t>
    <rPh sb="1" eb="4">
      <t>ジュンケッショウ</t>
    </rPh>
    <rPh sb="5" eb="6">
      <t>クミ</t>
    </rPh>
    <phoneticPr fontId="1"/>
  </si>
  <si>
    <t>準決勝</t>
    <rPh sb="0" eb="1">
      <t>ジュン</t>
    </rPh>
    <rPh sb="1" eb="3">
      <t>ケッショウ</t>
    </rPh>
    <phoneticPr fontId="1"/>
  </si>
  <si>
    <t>3名</t>
    <rPh sb="1" eb="2">
      <t>メイ</t>
    </rPh>
    <phoneticPr fontId="1"/>
  </si>
  <si>
    <t>計５名</t>
    <rPh sb="0" eb="1">
      <t>ケイ</t>
    </rPh>
    <rPh sb="2" eb="3">
      <t>メイ</t>
    </rPh>
    <phoneticPr fontId="1"/>
  </si>
  <si>
    <t>浜松市佐鳴湖漕艇場</t>
    <rPh sb="0" eb="3">
      <t>ハママツシ</t>
    </rPh>
    <rPh sb="3" eb="6">
      <t>サナルコ</t>
    </rPh>
    <rPh sb="6" eb="8">
      <t>ソウテイ</t>
    </rPh>
    <rPh sb="8" eb="9">
      <t>ジョウ</t>
    </rPh>
    <phoneticPr fontId="1"/>
  </si>
  <si>
    <t>②</t>
    <phoneticPr fontId="1"/>
  </si>
  <si>
    <t>0レーン</t>
    <phoneticPr fontId="1"/>
  </si>
  <si>
    <t>×</t>
    <phoneticPr fontId="1"/>
  </si>
  <si>
    <t>１レーン</t>
    <phoneticPr fontId="1"/>
  </si>
  <si>
    <t>２レーン</t>
    <phoneticPr fontId="1"/>
  </si>
  <si>
    <t>３レーン</t>
    <phoneticPr fontId="1"/>
  </si>
  <si>
    <t>４レーン</t>
    <phoneticPr fontId="1"/>
  </si>
  <si>
    <t>５レーン</t>
    <phoneticPr fontId="1"/>
  </si>
  <si>
    <t>④</t>
    <phoneticPr fontId="1"/>
  </si>
  <si>
    <t>６レーン</t>
    <phoneticPr fontId="1"/>
  </si>
  <si>
    <t>①</t>
    <phoneticPr fontId="1"/>
  </si>
  <si>
    <t>　　　　①</t>
    <phoneticPr fontId="1"/>
  </si>
  <si>
    <t>ｽﾀｰﾄ手前100ｍ</t>
    <rPh sb="4" eb="6">
      <t>テマエ</t>
    </rPh>
    <phoneticPr fontId="1"/>
  </si>
  <si>
    <t>０ｍ</t>
    <phoneticPr fontId="1"/>
  </si>
  <si>
    <t>100m</t>
    <phoneticPr fontId="1"/>
  </si>
  <si>
    <t>500ｍ</t>
    <phoneticPr fontId="1"/>
  </si>
  <si>
    <t>８00ｍ</t>
    <phoneticPr fontId="1"/>
  </si>
  <si>
    <t>1000ｍ</t>
    <phoneticPr fontId="1"/>
  </si>
  <si>
    <t>桟橋</t>
    <rPh sb="0" eb="2">
      <t>サンバシ</t>
    </rPh>
    <phoneticPr fontId="1"/>
  </si>
  <si>
    <t>北高</t>
    <rPh sb="0" eb="1">
      <t>キタ</t>
    </rPh>
    <rPh sb="1" eb="2">
      <t>タカ</t>
    </rPh>
    <phoneticPr fontId="1"/>
  </si>
  <si>
    <t>放</t>
    <rPh sb="0" eb="1">
      <t>ホウ</t>
    </rPh>
    <phoneticPr fontId="1"/>
  </si>
  <si>
    <t>水</t>
    <rPh sb="0" eb="1">
      <t>ミズ</t>
    </rPh>
    <phoneticPr fontId="1"/>
  </si>
  <si>
    <t>練習時における乗艇の流れ</t>
    <rPh sb="0" eb="2">
      <t>レンシュウ</t>
    </rPh>
    <rPh sb="2" eb="3">
      <t>ジ</t>
    </rPh>
    <rPh sb="7" eb="9">
      <t>ジョウテイ</t>
    </rPh>
    <rPh sb="10" eb="11">
      <t>ナガ</t>
    </rPh>
    <phoneticPr fontId="1"/>
  </si>
  <si>
    <t>路</t>
    <rPh sb="0" eb="1">
      <t>ミチ</t>
    </rPh>
    <phoneticPr fontId="1"/>
  </si>
  <si>
    <t>出艇後は、右側通行で2個続き赤ブイ右側を通り対岸へ</t>
    <rPh sb="0" eb="1">
      <t>デ</t>
    </rPh>
    <rPh sb="1" eb="2">
      <t>テイ</t>
    </rPh>
    <rPh sb="2" eb="3">
      <t>アト</t>
    </rPh>
    <rPh sb="5" eb="7">
      <t>ミギガワ</t>
    </rPh>
    <rPh sb="7" eb="9">
      <t>ツウコウ</t>
    </rPh>
    <rPh sb="11" eb="12">
      <t>コ</t>
    </rPh>
    <rPh sb="12" eb="13">
      <t>ツヅ</t>
    </rPh>
    <rPh sb="14" eb="15">
      <t>アカ</t>
    </rPh>
    <rPh sb="17" eb="19">
      <t>ミギガワ</t>
    </rPh>
    <rPh sb="20" eb="21">
      <t>トオ</t>
    </rPh>
    <rPh sb="22" eb="24">
      <t>タイガン</t>
    </rPh>
    <phoneticPr fontId="1"/>
  </si>
  <si>
    <t>赤ブイを越えないように、スタートへ向かう</t>
    <rPh sb="0" eb="1">
      <t>アカ</t>
    </rPh>
    <rPh sb="4" eb="5">
      <t>コ</t>
    </rPh>
    <rPh sb="17" eb="18">
      <t>ム</t>
    </rPh>
    <phoneticPr fontId="1"/>
  </si>
  <si>
    <t>③</t>
    <phoneticPr fontId="1"/>
  </si>
  <si>
    <t>ステッキボートが設置してあるため、100m地点で折り返す。</t>
    <rPh sb="8" eb="10">
      <t>セッチ</t>
    </rPh>
    <rPh sb="21" eb="23">
      <t>チテン</t>
    </rPh>
    <rPh sb="24" eb="25">
      <t>オ</t>
    </rPh>
    <rPh sb="26" eb="27">
      <t>カエ</t>
    </rPh>
    <phoneticPr fontId="1"/>
  </si>
  <si>
    <t>帰艇する場合は、できるだけ５・６レーンを航行し、１０００ｍを通過して、桟橋へつける</t>
    <rPh sb="0" eb="1">
      <t>カエ</t>
    </rPh>
    <rPh sb="1" eb="2">
      <t>テイ</t>
    </rPh>
    <rPh sb="4" eb="6">
      <t>バアイ</t>
    </rPh>
    <rPh sb="20" eb="22">
      <t>コウコウ</t>
    </rPh>
    <rPh sb="30" eb="32">
      <t>ツウカ</t>
    </rPh>
    <rPh sb="35" eb="37">
      <t>サンバシ</t>
    </rPh>
    <phoneticPr fontId="1"/>
  </si>
  <si>
    <t>なお、出艇する艇や、後続の艇には十分注意すること</t>
    <rPh sb="3" eb="4">
      <t>デ</t>
    </rPh>
    <rPh sb="4" eb="5">
      <t>テイ</t>
    </rPh>
    <rPh sb="7" eb="8">
      <t>テイ</t>
    </rPh>
    <rPh sb="10" eb="11">
      <t>ウシ</t>
    </rPh>
    <rPh sb="11" eb="12">
      <t>ツヅ</t>
    </rPh>
    <rPh sb="13" eb="14">
      <t>テイ</t>
    </rPh>
    <rPh sb="16" eb="18">
      <t>ジュウブン</t>
    </rPh>
    <rPh sb="18" eb="20">
      <t>チュウイ</t>
    </rPh>
    <phoneticPr fontId="1"/>
  </si>
  <si>
    <t>故障した艇のみ、500mからゴールへ向かい、桟橋につけるが、</t>
    <rPh sb="0" eb="2">
      <t>コショウ</t>
    </rPh>
    <rPh sb="4" eb="5">
      <t>テイ</t>
    </rPh>
    <rPh sb="18" eb="19">
      <t>ム</t>
    </rPh>
    <rPh sb="22" eb="24">
      <t>サンバシ</t>
    </rPh>
    <phoneticPr fontId="1"/>
  </si>
  <si>
    <t>進入禁止エリア</t>
    <rPh sb="0" eb="2">
      <t>シンニュウ</t>
    </rPh>
    <rPh sb="2" eb="4">
      <t>キンシ</t>
    </rPh>
    <phoneticPr fontId="1"/>
  </si>
  <si>
    <t>練習水域</t>
    <rPh sb="0" eb="2">
      <t>レンシュウ</t>
    </rPh>
    <rPh sb="2" eb="4">
      <t>スイイキ</t>
    </rPh>
    <phoneticPr fontId="1"/>
  </si>
  <si>
    <t>くれぐれも注意</t>
    <rPh sb="5" eb="7">
      <t>チュウイ</t>
    </rPh>
    <phoneticPr fontId="1"/>
  </si>
  <si>
    <t>→</t>
    <phoneticPr fontId="1"/>
  </si>
  <si>
    <t>※</t>
    <phoneticPr fontId="1"/>
  </si>
  <si>
    <t>この</t>
    <phoneticPr fontId="1"/>
  </si>
  <si>
    <t>合</t>
    <rPh sb="0" eb="1">
      <t>ア</t>
    </rPh>
    <phoneticPr fontId="1"/>
  </si>
  <si>
    <t>付近で</t>
    <rPh sb="0" eb="2">
      <t>フキン</t>
    </rPh>
    <phoneticPr fontId="1"/>
  </si>
  <si>
    <t>流</t>
    <rPh sb="0" eb="1">
      <t>ナガ</t>
    </rPh>
    <phoneticPr fontId="1"/>
  </si>
  <si>
    <t>赤ブイを越えたら</t>
    <rPh sb="0" eb="1">
      <t>アカ</t>
    </rPh>
    <rPh sb="4" eb="5">
      <t>コ</t>
    </rPh>
    <phoneticPr fontId="1"/>
  </si>
  <si>
    <t>止まらないこと</t>
    <rPh sb="0" eb="1">
      <t>ト</t>
    </rPh>
    <phoneticPr fontId="1"/>
  </si>
  <si>
    <t>注</t>
    <rPh sb="0" eb="1">
      <t>チュウ</t>
    </rPh>
    <phoneticPr fontId="1"/>
  </si>
  <si>
    <t>コースに入る</t>
    <rPh sb="4" eb="5">
      <t>ハイ</t>
    </rPh>
    <phoneticPr fontId="1"/>
  </si>
  <si>
    <t>意</t>
    <rPh sb="0" eb="1">
      <t>イ</t>
    </rPh>
    <phoneticPr fontId="1"/>
  </si>
  <si>
    <t>１レーン</t>
  </si>
  <si>
    <t>２レーン</t>
  </si>
  <si>
    <t>３レーン</t>
  </si>
  <si>
    <t>４レーン</t>
  </si>
  <si>
    <t>⑤</t>
    <phoneticPr fontId="1"/>
  </si>
  <si>
    <t>レース時における乗艇の流れ</t>
    <rPh sb="3" eb="4">
      <t>ジ</t>
    </rPh>
    <rPh sb="8" eb="10">
      <t>ジョウテイ</t>
    </rPh>
    <rPh sb="11" eb="12">
      <t>ナガ</t>
    </rPh>
    <phoneticPr fontId="1"/>
  </si>
  <si>
    <t>スタートに向かう艇は、500mを越え、さらに直進</t>
    <rPh sb="5" eb="6">
      <t>ム</t>
    </rPh>
    <rPh sb="8" eb="9">
      <t>テイ</t>
    </rPh>
    <rPh sb="16" eb="17">
      <t>コ</t>
    </rPh>
    <rPh sb="22" eb="24">
      <t>チョクシン</t>
    </rPh>
    <phoneticPr fontId="1"/>
  </si>
  <si>
    <r>
      <t>練習水域へ向かう艇は、コースから離れるように、</t>
    </r>
    <r>
      <rPr>
        <sz val="11"/>
        <rFont val="ＭＳ Ｐゴシック"/>
        <family val="3"/>
        <charset val="128"/>
      </rPr>
      <t>赤ブイを回ってＵターンする</t>
    </r>
    <rPh sb="0" eb="2">
      <t>レンシュウ</t>
    </rPh>
    <rPh sb="2" eb="4">
      <t>スイイキ</t>
    </rPh>
    <rPh sb="5" eb="6">
      <t>ム</t>
    </rPh>
    <rPh sb="8" eb="9">
      <t>テイ</t>
    </rPh>
    <rPh sb="16" eb="17">
      <t>ハナ</t>
    </rPh>
    <rPh sb="23" eb="24">
      <t>アカ</t>
    </rPh>
    <rPh sb="27" eb="28">
      <t>マワ</t>
    </rPh>
    <phoneticPr fontId="1"/>
  </si>
  <si>
    <t>発艇線をこえたら、ﾏｲﾅｽ100m（大きな赤ブイ）まで進み、コースに入り、発艇船の後ろに待機</t>
    <rPh sb="0" eb="1">
      <t>ハツ</t>
    </rPh>
    <rPh sb="1" eb="2">
      <t>テイ</t>
    </rPh>
    <rPh sb="2" eb="3">
      <t>セン</t>
    </rPh>
    <rPh sb="18" eb="19">
      <t>オオ</t>
    </rPh>
    <rPh sb="21" eb="22">
      <t>アカ</t>
    </rPh>
    <rPh sb="27" eb="28">
      <t>スス</t>
    </rPh>
    <rPh sb="34" eb="35">
      <t>ハイ</t>
    </rPh>
    <rPh sb="37" eb="38">
      <t>ハツ</t>
    </rPh>
    <rPh sb="38" eb="39">
      <t>テイ</t>
    </rPh>
    <rPh sb="39" eb="40">
      <t>フネ</t>
    </rPh>
    <rPh sb="41" eb="42">
      <t>ウシ</t>
    </rPh>
    <rPh sb="44" eb="46">
      <t>タイキ</t>
    </rPh>
    <phoneticPr fontId="1"/>
  </si>
  <si>
    <t>ゴール後のクールダウンは禁止</t>
    <rPh sb="3" eb="4">
      <t>ゴ</t>
    </rPh>
    <rPh sb="12" eb="14">
      <t>キンシ</t>
    </rPh>
    <phoneticPr fontId="1"/>
  </si>
  <si>
    <t>レース確定後は速やかに桟橋へ向かう</t>
    <rPh sb="3" eb="5">
      <t>カクテイ</t>
    </rPh>
    <rPh sb="5" eb="6">
      <t>ゴ</t>
    </rPh>
    <rPh sb="7" eb="8">
      <t>スミ</t>
    </rPh>
    <rPh sb="11" eb="13">
      <t>サンバシ</t>
    </rPh>
    <rPh sb="14" eb="15">
      <t>ム</t>
    </rPh>
    <phoneticPr fontId="1"/>
  </si>
  <si>
    <t>　５月２８日（日）　　　　　　　レース開始　　９：００　　　　　　閉会式　　１３：３０（予定）</t>
    <rPh sb="2" eb="3">
      <t>ガツ</t>
    </rPh>
    <rPh sb="5" eb="6">
      <t>ニチ</t>
    </rPh>
    <rPh sb="7" eb="8">
      <t>ヒ</t>
    </rPh>
    <rPh sb="19" eb="21">
      <t>カイシ</t>
    </rPh>
    <rPh sb="33" eb="36">
      <t>ヘイカイシキ</t>
    </rPh>
    <rPh sb="44" eb="46">
      <t>ヨテイ</t>
    </rPh>
    <phoneticPr fontId="1"/>
  </si>
  <si>
    <t>　　５月２７日（土）　　代表者会議（管理人室前）10:00　開会式（第3艇庫前）11:30　レース開始12:00</t>
    <rPh sb="8" eb="9">
      <t>ド</t>
    </rPh>
    <rPh sb="18" eb="21">
      <t>カンリニン</t>
    </rPh>
    <rPh sb="21" eb="22">
      <t>シツ</t>
    </rPh>
    <rPh sb="22" eb="23">
      <t>マエ</t>
    </rPh>
    <rPh sb="34" eb="35">
      <t>ダイ</t>
    </rPh>
    <rPh sb="36" eb="38">
      <t>テイコ</t>
    </rPh>
    <rPh sb="38" eb="39">
      <t>マエ</t>
    </rPh>
    <phoneticPr fontId="1"/>
  </si>
  <si>
    <t>令和５年　５月２７日（土）～２８日（日）</t>
    <rPh sb="0" eb="1">
      <t>レイ</t>
    </rPh>
    <rPh sb="1" eb="2">
      <t>ワ</t>
    </rPh>
    <rPh sb="3" eb="4">
      <t>ネン</t>
    </rPh>
    <rPh sb="4" eb="5">
      <t>ヘイネン</t>
    </rPh>
    <rPh sb="6" eb="7">
      <t>ゴガツ</t>
    </rPh>
    <rPh sb="9" eb="10">
      <t>ヒ</t>
    </rPh>
    <rPh sb="11" eb="12">
      <t>ド</t>
    </rPh>
    <rPh sb="16" eb="17">
      <t>ヒ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</si>
</sst>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4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color indexed="9"/>
      <name val="ＭＳ Ｐゴシック"/>
      <family val="3"/>
      <charset val="128"/>
    </font>
    <font>
      <b/>
      <u val="double"/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HGS明朝E"/>
      <family val="1"/>
      <charset val="128"/>
    </font>
    <font>
      <sz val="11"/>
      <name val="HGS創英角ﾎﾟｯﾌﾟ体"/>
      <family val="3"/>
      <charset val="128"/>
    </font>
    <font>
      <sz val="14"/>
      <name val="HGS明朝E"/>
      <family val="1"/>
      <charset val="128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gray0625">
        <bgColor theme="0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254">
    <border>
      <left/>
      <right/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 diagonalUp="1">
      <left/>
      <right/>
      <top/>
      <bottom/>
      <diagonal style="thin">
        <color indexed="64"/>
      </diagonal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slantDashDot">
        <color rgb="FFFF0000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slantDashDot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slantDashDot">
        <color rgb="FFFF0000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slantDashDot">
        <color indexed="64"/>
      </right>
      <top style="medium">
        <color indexed="64"/>
      </top>
      <bottom style="hair">
        <color indexed="64"/>
      </bottom>
      <diagonal/>
    </border>
    <border>
      <left style="slantDashDot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slantDashDot">
        <color rgb="FFFF0000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slantDashDot">
        <color indexed="64"/>
      </right>
      <top/>
      <bottom style="hair">
        <color indexed="64"/>
      </bottom>
      <diagonal/>
    </border>
    <border>
      <left style="slantDashDot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slantDashDot">
        <color rgb="FFFF0000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slantDashDot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slantDashDot">
        <color rgb="FFFF0000"/>
      </right>
      <top style="hair">
        <color indexed="64"/>
      </top>
      <bottom style="hair">
        <color indexed="64"/>
      </bottom>
      <diagonal/>
    </border>
    <border>
      <left/>
      <right style="slantDashDot">
        <color indexed="64"/>
      </right>
      <top style="hair">
        <color indexed="64"/>
      </top>
      <bottom style="medium">
        <color indexed="64"/>
      </bottom>
      <diagonal/>
    </border>
    <border>
      <left style="slantDashDot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slantDashDot">
        <color rgb="FFFF0000"/>
      </right>
      <top style="hair">
        <color indexed="64"/>
      </top>
      <bottom style="medium">
        <color indexed="64"/>
      </bottom>
      <diagonal/>
    </border>
    <border diagonalUp="1">
      <left style="slantDashDot">
        <color indexed="64"/>
      </left>
      <right/>
      <top style="slantDashDot">
        <color indexed="64"/>
      </top>
      <bottom/>
      <diagonal style="mediumDashed">
        <color indexed="64"/>
      </diagonal>
    </border>
    <border diagonalUp="1">
      <left/>
      <right/>
      <top style="slantDashDot">
        <color indexed="64"/>
      </top>
      <bottom/>
      <diagonal style="mediumDashed">
        <color indexed="64"/>
      </diagonal>
    </border>
    <border diagonalUp="1">
      <left/>
      <right style="slantDashDot">
        <color indexed="64"/>
      </right>
      <top style="slantDashDot">
        <color indexed="64"/>
      </top>
      <bottom/>
      <diagonal style="mediumDashed">
        <color indexed="64"/>
      </diagonal>
    </border>
    <border diagonalUp="1">
      <left style="slantDashDot">
        <color indexed="64"/>
      </left>
      <right/>
      <top/>
      <bottom/>
      <diagonal style="mediumDashed">
        <color indexed="64"/>
      </diagonal>
    </border>
    <border diagonalUp="1">
      <left/>
      <right/>
      <top/>
      <bottom/>
      <diagonal style="mediumDashed">
        <color indexed="64"/>
      </diagonal>
    </border>
    <border diagonalUp="1">
      <left/>
      <right style="slantDashDot">
        <color indexed="64"/>
      </right>
      <top/>
      <bottom/>
      <diagonal style="mediumDashed">
        <color indexed="64"/>
      </diagonal>
    </border>
    <border diagonalUp="1">
      <left style="slantDashDot">
        <color indexed="64"/>
      </left>
      <right/>
      <top/>
      <bottom style="dashed">
        <color indexed="64"/>
      </bottom>
      <diagonal style="mediumDashed">
        <color indexed="64"/>
      </diagonal>
    </border>
    <border diagonalUp="1">
      <left/>
      <right/>
      <top/>
      <bottom style="dashed">
        <color indexed="64"/>
      </bottom>
      <diagonal style="mediumDashed">
        <color indexed="64"/>
      </diagonal>
    </border>
    <border>
      <left/>
      <right/>
      <top/>
      <bottom style="dashed">
        <color indexed="64"/>
      </bottom>
      <diagonal/>
    </border>
    <border>
      <left/>
      <right style="slantDashDot">
        <color indexed="64"/>
      </right>
      <top/>
      <bottom style="dashed">
        <color indexed="64"/>
      </bottom>
      <diagonal/>
    </border>
    <border diagonalUp="1">
      <left style="slantDashDot">
        <color indexed="64"/>
      </left>
      <right style="slantDashDot">
        <color indexed="64"/>
      </right>
      <top style="dashed">
        <color indexed="64"/>
      </top>
      <bottom/>
      <diagonal style="mediumDashed">
        <color indexed="64"/>
      </diagonal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 diagonalUp="1">
      <left style="slantDashDot">
        <color indexed="64"/>
      </left>
      <right style="slantDashDot">
        <color indexed="64"/>
      </right>
      <top style="hair">
        <color indexed="64"/>
      </top>
      <bottom style="medium">
        <color indexed="64"/>
      </bottom>
      <diagonal style="mediumDashed">
        <color indexed="64"/>
      </diagonal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6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56" fontId="7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0" fontId="15" fillId="0" borderId="0" xfId="0" applyNumberFormat="1" applyFont="1" applyAlignment="1">
      <alignment horizontal="center"/>
    </xf>
    <xf numFmtId="0" fontId="18" fillId="0" borderId="0" xfId="0" applyFont="1"/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/>
    <xf numFmtId="0" fontId="3" fillId="0" borderId="25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30" xfId="0" applyFont="1" applyBorder="1" applyAlignment="1">
      <alignment horizontal="distributed" vertical="center"/>
    </xf>
    <xf numFmtId="0" fontId="3" fillId="0" borderId="31" xfId="0" applyFont="1" applyBorder="1"/>
    <xf numFmtId="0" fontId="3" fillId="0" borderId="32" xfId="0" applyFont="1" applyBorder="1"/>
    <xf numFmtId="0" fontId="15" fillId="0" borderId="35" xfId="0" applyFont="1" applyBorder="1"/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vertical="center"/>
    </xf>
    <xf numFmtId="0" fontId="15" fillId="0" borderId="4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62" xfId="0" applyFont="1" applyBorder="1" applyAlignment="1">
      <alignment horizontal="distributed" vertical="distributed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1" fillId="0" borderId="30" xfId="0" applyFont="1" applyBorder="1" applyAlignment="1">
      <alignment horizontal="distributed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1" fillId="0" borderId="63" xfId="0" applyFont="1" applyBorder="1" applyAlignment="1">
      <alignment horizontal="distributed" vertical="center"/>
    </xf>
    <xf numFmtId="0" fontId="21" fillId="0" borderId="6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2" fillId="0" borderId="0" xfId="0" applyFont="1"/>
    <xf numFmtId="0" fontId="15" fillId="0" borderId="0" xfId="0" applyFont="1" applyAlignment="1">
      <alignment horizontal="left"/>
    </xf>
    <xf numFmtId="0" fontId="15" fillId="0" borderId="55" xfId="0" applyFont="1" applyBorder="1"/>
    <xf numFmtId="0" fontId="15" fillId="0" borderId="66" xfId="0" applyFont="1" applyBorder="1"/>
    <xf numFmtId="0" fontId="15" fillId="0" borderId="67" xfId="0" applyFont="1" applyBorder="1"/>
    <xf numFmtId="0" fontId="15" fillId="0" borderId="68" xfId="0" applyFont="1" applyBorder="1"/>
    <xf numFmtId="0" fontId="15" fillId="0" borderId="59" xfId="0" applyFont="1" applyBorder="1"/>
    <xf numFmtId="56" fontId="15" fillId="0" borderId="0" xfId="0" applyNumberFormat="1" applyFont="1" applyAlignment="1">
      <alignment horizontal="left"/>
    </xf>
    <xf numFmtId="0" fontId="15" fillId="0" borderId="0" xfId="1" applyFont="1" applyAlignment="1" applyProtection="1">
      <alignment horizontal="center"/>
      <protection locked="0"/>
    </xf>
    <xf numFmtId="0" fontId="3" fillId="0" borderId="104" xfId="0" applyFont="1" applyBorder="1" applyAlignment="1">
      <alignment horizontal="distributed" vertical="center"/>
    </xf>
    <xf numFmtId="0" fontId="3" fillId="0" borderId="105" xfId="0" applyFont="1" applyBorder="1"/>
    <xf numFmtId="0" fontId="3" fillId="0" borderId="15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6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5" fillId="0" borderId="132" xfId="0" applyFont="1" applyBorder="1" applyAlignment="1">
      <alignment vertical="center"/>
    </xf>
    <xf numFmtId="0" fontId="15" fillId="0" borderId="133" xfId="0" applyFont="1" applyBorder="1" applyAlignment="1">
      <alignment horizontal="center" vertical="center"/>
    </xf>
    <xf numFmtId="0" fontId="15" fillId="0" borderId="134" xfId="0" applyFont="1" applyBorder="1" applyAlignment="1">
      <alignment horizontal="center" vertical="center"/>
    </xf>
    <xf numFmtId="0" fontId="15" fillId="0" borderId="135" xfId="0" applyFont="1" applyBorder="1" applyAlignment="1">
      <alignment horizontal="center" vertical="center"/>
    </xf>
    <xf numFmtId="20" fontId="15" fillId="0" borderId="136" xfId="0" applyNumberFormat="1" applyFont="1" applyBorder="1" applyAlignment="1">
      <alignment horizontal="center" vertical="center"/>
    </xf>
    <xf numFmtId="0" fontId="15" fillId="0" borderId="83" xfId="0" applyFont="1" applyBorder="1" applyAlignment="1">
      <alignment vertical="center"/>
    </xf>
    <xf numFmtId="0" fontId="15" fillId="0" borderId="137" xfId="0" applyFont="1" applyBorder="1" applyAlignment="1">
      <alignment vertical="center"/>
    </xf>
    <xf numFmtId="0" fontId="15" fillId="0" borderId="138" xfId="0" applyFont="1" applyBorder="1" applyAlignment="1">
      <alignment horizontal="center" vertical="center"/>
    </xf>
    <xf numFmtId="20" fontId="15" fillId="0" borderId="139" xfId="0" applyNumberFormat="1" applyFont="1" applyBorder="1" applyAlignment="1">
      <alignment horizontal="center" vertical="center"/>
    </xf>
    <xf numFmtId="0" fontId="15" fillId="0" borderId="140" xfId="0" applyFont="1" applyBorder="1" applyAlignment="1">
      <alignment horizontal="center" vertical="center"/>
    </xf>
    <xf numFmtId="20" fontId="15" fillId="0" borderId="141" xfId="0" applyNumberFormat="1" applyFont="1" applyBorder="1" applyAlignment="1">
      <alignment horizontal="center" vertical="center"/>
    </xf>
    <xf numFmtId="0" fontId="15" fillId="0" borderId="142" xfId="0" applyFont="1" applyBorder="1" applyAlignment="1">
      <alignment vertical="center"/>
    </xf>
    <xf numFmtId="0" fontId="15" fillId="0" borderId="143" xfId="0" applyFont="1" applyBorder="1" applyAlignment="1">
      <alignment vertical="center"/>
    </xf>
    <xf numFmtId="20" fontId="15" fillId="0" borderId="0" xfId="0" applyNumberFormat="1" applyFont="1" applyAlignment="1">
      <alignment horizontal="center" vertical="center"/>
    </xf>
    <xf numFmtId="0" fontId="15" fillId="0" borderId="9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5" fillId="0" borderId="14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55" xfId="0" applyBorder="1"/>
    <xf numFmtId="0" fontId="0" fillId="0" borderId="69" xfId="0" applyBorder="1"/>
    <xf numFmtId="0" fontId="0" fillId="0" borderId="66" xfId="0" applyBorder="1"/>
    <xf numFmtId="0" fontId="0" fillId="0" borderId="26" xfId="0" applyBorder="1"/>
    <xf numFmtId="0" fontId="0" fillId="0" borderId="59" xfId="0" applyBorder="1"/>
    <xf numFmtId="0" fontId="24" fillId="0" borderId="0" xfId="0" applyFont="1"/>
    <xf numFmtId="0" fontId="26" fillId="0" borderId="0" xfId="0" applyFont="1" applyAlignment="1">
      <alignment horizontal="center"/>
    </xf>
    <xf numFmtId="56" fontId="15" fillId="0" borderId="0" xfId="0" applyNumberFormat="1" applyFont="1"/>
    <xf numFmtId="0" fontId="0" fillId="0" borderId="68" xfId="0" applyBorder="1"/>
    <xf numFmtId="0" fontId="10" fillId="0" borderId="4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155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4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156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0" fillId="0" borderId="0" xfId="1" applyFont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0" fillId="0" borderId="83" xfId="0" applyBorder="1" applyAlignment="1">
      <alignment vertical="center"/>
    </xf>
    <xf numFmtId="0" fontId="0" fillId="0" borderId="137" xfId="0" applyBorder="1" applyAlignment="1">
      <alignment vertical="center"/>
    </xf>
    <xf numFmtId="0" fontId="0" fillId="0" borderId="99" xfId="0" applyBorder="1" applyAlignment="1">
      <alignment vertical="center"/>
    </xf>
    <xf numFmtId="56" fontId="0" fillId="0" borderId="0" xfId="0" applyNumberForma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/>
    <xf numFmtId="56" fontId="30" fillId="0" borderId="0" xfId="0" applyNumberFormat="1" applyFont="1"/>
    <xf numFmtId="0" fontId="21" fillId="0" borderId="159" xfId="0" applyFont="1" applyBorder="1" applyAlignment="1">
      <alignment horizontal="center" vertical="center"/>
    </xf>
    <xf numFmtId="0" fontId="21" fillId="0" borderId="160" xfId="0" applyFont="1" applyBorder="1" applyAlignment="1">
      <alignment horizontal="center" vertical="center"/>
    </xf>
    <xf numFmtId="0" fontId="21" fillId="0" borderId="161" xfId="0" applyFont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47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3" borderId="138" xfId="0" applyFont="1" applyFill="1" applyBorder="1" applyAlignment="1">
      <alignment horizontal="center" vertical="center"/>
    </xf>
    <xf numFmtId="20" fontId="15" fillId="3" borderId="139" xfId="0" applyNumberFormat="1" applyFont="1" applyFill="1" applyBorder="1" applyAlignment="1">
      <alignment horizontal="center" vertical="center"/>
    </xf>
    <xf numFmtId="0" fontId="0" fillId="3" borderId="83" xfId="0" applyFill="1" applyBorder="1" applyAlignment="1">
      <alignment vertical="center"/>
    </xf>
    <xf numFmtId="0" fontId="0" fillId="3" borderId="137" xfId="0" applyFill="1" applyBorder="1" applyAlignment="1">
      <alignment vertical="center"/>
    </xf>
    <xf numFmtId="0" fontId="15" fillId="3" borderId="99" xfId="0" applyFont="1" applyFill="1" applyBorder="1" applyAlignment="1">
      <alignment horizontal="center" vertical="center"/>
    </xf>
    <xf numFmtId="0" fontId="15" fillId="3" borderId="137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15" fillId="4" borderId="0" xfId="0" applyFont="1" applyFill="1"/>
    <xf numFmtId="0" fontId="15" fillId="0" borderId="183" xfId="0" applyFont="1" applyBorder="1"/>
    <xf numFmtId="0" fontId="10" fillId="0" borderId="33" xfId="0" applyFont="1" applyBorder="1" applyAlignment="1">
      <alignment horizontal="center" vertical="center" wrapText="1"/>
    </xf>
    <xf numFmtId="0" fontId="10" fillId="0" borderId="18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/>
    </xf>
    <xf numFmtId="0" fontId="10" fillId="0" borderId="147" xfId="0" applyFont="1" applyBorder="1" applyAlignment="1">
      <alignment horizontal="center" vertical="center" shrinkToFit="1"/>
    </xf>
    <xf numFmtId="0" fontId="10" fillId="0" borderId="186" xfId="0" applyFont="1" applyBorder="1" applyAlignment="1">
      <alignment horizontal="center" vertical="center"/>
    </xf>
    <xf numFmtId="0" fontId="10" fillId="0" borderId="187" xfId="0" applyFont="1" applyBorder="1" applyAlignment="1">
      <alignment horizontal="center" vertical="center"/>
    </xf>
    <xf numFmtId="0" fontId="10" fillId="0" borderId="188" xfId="0" applyFont="1" applyBorder="1" applyAlignment="1">
      <alignment horizontal="center" vertical="center"/>
    </xf>
    <xf numFmtId="0" fontId="10" fillId="0" borderId="189" xfId="0" applyFont="1" applyBorder="1" applyAlignment="1">
      <alignment horizontal="center" vertical="center"/>
    </xf>
    <xf numFmtId="0" fontId="10" fillId="0" borderId="190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 wrapText="1"/>
    </xf>
    <xf numFmtId="0" fontId="0" fillId="0" borderId="191" xfId="0" applyBorder="1" applyAlignment="1">
      <alignment horizontal="center" vertical="center"/>
    </xf>
    <xf numFmtId="0" fontId="0" fillId="0" borderId="192" xfId="0" applyBorder="1" applyAlignment="1">
      <alignment horizontal="center" vertical="center"/>
    </xf>
    <xf numFmtId="0" fontId="0" fillId="0" borderId="193" xfId="0" applyBorder="1" applyAlignment="1">
      <alignment horizontal="center" vertical="center"/>
    </xf>
    <xf numFmtId="0" fontId="0" fillId="0" borderId="194" xfId="0" applyBorder="1" applyAlignment="1">
      <alignment horizontal="center" vertical="center" shrinkToFit="1"/>
    </xf>
    <xf numFmtId="0" fontId="0" fillId="0" borderId="19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7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63" xfId="0" applyBorder="1" applyAlignment="1">
      <alignment horizontal="center" vertical="center"/>
    </xf>
    <xf numFmtId="0" fontId="0" fillId="5" borderId="0" xfId="0" applyFill="1"/>
    <xf numFmtId="0" fontId="0" fillId="5" borderId="71" xfId="0" applyFill="1" applyBorder="1"/>
    <xf numFmtId="0" fontId="0" fillId="5" borderId="72" xfId="0" applyFill="1" applyBorder="1" applyAlignment="1">
      <alignment horizontal="center" vertical="center"/>
    </xf>
    <xf numFmtId="0" fontId="0" fillId="5" borderId="73" xfId="0" applyFill="1" applyBorder="1" applyAlignment="1">
      <alignment horizontal="center"/>
    </xf>
    <xf numFmtId="0" fontId="0" fillId="5" borderId="1" xfId="0" applyFill="1" applyBorder="1"/>
    <xf numFmtId="0" fontId="0" fillId="5" borderId="66" xfId="0" applyFill="1" applyBorder="1" applyAlignment="1">
      <alignment horizontal="center" vertical="center"/>
    </xf>
    <xf numFmtId="0" fontId="0" fillId="5" borderId="74" xfId="0" applyFill="1" applyBorder="1" applyAlignment="1">
      <alignment horizontal="center"/>
    </xf>
    <xf numFmtId="0" fontId="0" fillId="5" borderId="75" xfId="0" applyFill="1" applyBorder="1"/>
    <xf numFmtId="0" fontId="0" fillId="5" borderId="7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0" fontId="0" fillId="5" borderId="82" xfId="0" applyFill="1" applyBorder="1" applyAlignment="1">
      <alignment horizontal="center"/>
    </xf>
    <xf numFmtId="0" fontId="0" fillId="5" borderId="78" xfId="0" applyFill="1" applyBorder="1"/>
    <xf numFmtId="0" fontId="0" fillId="5" borderId="148" xfId="0" applyFill="1" applyBorder="1"/>
    <xf numFmtId="0" fontId="0" fillId="5" borderId="108" xfId="0" applyFill="1" applyBorder="1"/>
    <xf numFmtId="0" fontId="0" fillId="5" borderId="74" xfId="0" applyFill="1" applyBorder="1"/>
    <xf numFmtId="0" fontId="5" fillId="5" borderId="1" xfId="0" applyFont="1" applyFill="1" applyBorder="1" applyAlignment="1">
      <alignment horizontal="center"/>
    </xf>
    <xf numFmtId="0" fontId="0" fillId="5" borderId="83" xfId="0" applyFill="1" applyBorder="1" applyAlignment="1">
      <alignment horizontal="center"/>
    </xf>
    <xf numFmtId="0" fontId="0" fillId="5" borderId="86" xfId="0" applyFill="1" applyBorder="1"/>
    <xf numFmtId="0" fontId="0" fillId="5" borderId="84" xfId="0" applyFill="1" applyBorder="1"/>
    <xf numFmtId="0" fontId="0" fillId="5" borderId="85" xfId="0" applyFill="1" applyBorder="1"/>
    <xf numFmtId="20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69" xfId="0" applyFill="1" applyBorder="1"/>
    <xf numFmtId="0" fontId="0" fillId="5" borderId="59" xfId="0" applyFill="1" applyBorder="1"/>
    <xf numFmtId="0" fontId="0" fillId="5" borderId="25" xfId="0" applyFill="1" applyBorder="1"/>
    <xf numFmtId="0" fontId="0" fillId="5" borderId="38" xfId="0" applyFill="1" applyBorder="1"/>
    <xf numFmtId="0" fontId="0" fillId="5" borderId="52" xfId="0" applyFill="1" applyBorder="1" applyAlignment="1">
      <alignment horizontal="center"/>
    </xf>
    <xf numFmtId="0" fontId="0" fillId="5" borderId="70" xfId="0" applyFill="1" applyBorder="1"/>
    <xf numFmtId="0" fontId="0" fillId="5" borderId="79" xfId="0" applyFill="1" applyBorder="1"/>
    <xf numFmtId="0" fontId="0" fillId="5" borderId="53" xfId="0" applyFill="1" applyBorder="1"/>
    <xf numFmtId="0" fontId="0" fillId="5" borderId="26" xfId="0" applyFill="1" applyBorder="1"/>
    <xf numFmtId="0" fontId="0" fillId="5" borderId="2" xfId="0" applyFill="1" applyBorder="1" applyAlignment="1">
      <alignment horizontal="center"/>
    </xf>
    <xf numFmtId="0" fontId="0" fillId="5" borderId="113" xfId="0" applyFill="1" applyBorder="1" applyAlignment="1">
      <alignment horizontal="center"/>
    </xf>
    <xf numFmtId="0" fontId="0" fillId="5" borderId="109" xfId="0" applyFill="1" applyBorder="1"/>
    <xf numFmtId="0" fontId="0" fillId="5" borderId="77" xfId="0" applyFill="1" applyBorder="1"/>
    <xf numFmtId="0" fontId="0" fillId="5" borderId="90" xfId="0" applyFill="1" applyBorder="1"/>
    <xf numFmtId="0" fontId="0" fillId="5" borderId="91" xfId="0" applyFill="1" applyBorder="1"/>
    <xf numFmtId="0" fontId="0" fillId="5" borderId="94" xfId="0" applyFill="1" applyBorder="1"/>
    <xf numFmtId="0" fontId="0" fillId="5" borderId="97" xfId="0" applyFill="1" applyBorder="1"/>
    <xf numFmtId="0" fontId="0" fillId="5" borderId="66" xfId="0" applyFill="1" applyBorder="1"/>
    <xf numFmtId="0" fontId="0" fillId="5" borderId="2" xfId="0" applyFill="1" applyBorder="1"/>
    <xf numFmtId="0" fontId="0" fillId="5" borderId="114" xfId="0" applyFill="1" applyBorder="1" applyAlignment="1">
      <alignment horizontal="center"/>
    </xf>
    <xf numFmtId="0" fontId="0" fillId="5" borderId="55" xfId="0" applyFill="1" applyBorder="1"/>
    <xf numFmtId="0" fontId="0" fillId="5" borderId="80" xfId="0" applyFill="1" applyBorder="1" applyAlignment="1">
      <alignment horizontal="center"/>
    </xf>
    <xf numFmtId="0" fontId="0" fillId="5" borderId="112" xfId="0" applyFill="1" applyBorder="1" applyAlignment="1">
      <alignment horizontal="center"/>
    </xf>
    <xf numFmtId="0" fontId="0" fillId="5" borderId="106" xfId="0" applyFill="1" applyBorder="1"/>
    <xf numFmtId="0" fontId="0" fillId="5" borderId="107" xfId="0" applyFill="1" applyBorder="1"/>
    <xf numFmtId="0" fontId="0" fillId="5" borderId="110" xfId="0" applyFill="1" applyBorder="1"/>
    <xf numFmtId="0" fontId="0" fillId="5" borderId="81" xfId="0" applyFill="1" applyBorder="1"/>
    <xf numFmtId="0" fontId="0" fillId="5" borderId="158" xfId="0" applyFill="1" applyBorder="1" applyAlignment="1">
      <alignment horizontal="center"/>
    </xf>
    <xf numFmtId="0" fontId="0" fillId="5" borderId="152" xfId="0" applyFill="1" applyBorder="1" applyAlignment="1">
      <alignment horizontal="center"/>
    </xf>
    <xf numFmtId="0" fontId="0" fillId="5" borderId="154" xfId="0" applyFill="1" applyBorder="1"/>
    <xf numFmtId="0" fontId="0" fillId="5" borderId="111" xfId="0" applyFill="1" applyBorder="1"/>
    <xf numFmtId="0" fontId="0" fillId="5" borderId="153" xfId="0" applyFill="1" applyBorder="1"/>
    <xf numFmtId="0" fontId="0" fillId="5" borderId="7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50" xfId="0" applyFill="1" applyBorder="1"/>
    <xf numFmtId="0" fontId="0" fillId="5" borderId="151" xfId="0" applyFill="1" applyBorder="1"/>
    <xf numFmtId="0" fontId="0" fillId="5" borderId="115" xfId="0" applyFill="1" applyBorder="1"/>
    <xf numFmtId="0" fontId="0" fillId="5" borderId="8" xfId="0" applyFill="1" applyBorder="1"/>
    <xf numFmtId="0" fontId="0" fillId="5" borderId="145" xfId="0" applyFill="1" applyBorder="1"/>
    <xf numFmtId="0" fontId="0" fillId="5" borderId="149" xfId="0" applyFill="1" applyBorder="1"/>
    <xf numFmtId="0" fontId="0" fillId="5" borderId="0" xfId="0" applyFill="1" applyAlignment="1">
      <alignment horizontal="center"/>
    </xf>
    <xf numFmtId="0" fontId="0" fillId="5" borderId="93" xfId="0" applyFill="1" applyBorder="1" applyAlignment="1">
      <alignment horizontal="center"/>
    </xf>
    <xf numFmtId="0" fontId="0" fillId="5" borderId="87" xfId="0" applyFill="1" applyBorder="1"/>
    <xf numFmtId="0" fontId="0" fillId="5" borderId="88" xfId="0" applyFill="1" applyBorder="1"/>
    <xf numFmtId="0" fontId="0" fillId="5" borderId="101" xfId="0" applyFill="1" applyBorder="1"/>
    <xf numFmtId="0" fontId="0" fillId="5" borderId="102" xfId="0" applyFill="1" applyBorder="1"/>
    <xf numFmtId="0" fontId="0" fillId="5" borderId="157" xfId="0" applyFill="1" applyBorder="1"/>
    <xf numFmtId="0" fontId="0" fillId="5" borderId="76" xfId="0" applyFill="1" applyBorder="1"/>
    <xf numFmtId="0" fontId="0" fillId="5" borderId="89" xfId="0" applyFill="1" applyBorder="1" applyAlignment="1">
      <alignment horizontal="center"/>
    </xf>
    <xf numFmtId="0" fontId="0" fillId="5" borderId="92" xfId="0" applyFill="1" applyBorder="1"/>
    <xf numFmtId="0" fontId="0" fillId="5" borderId="95" xfId="0" applyFill="1" applyBorder="1"/>
    <xf numFmtId="0" fontId="5" fillId="5" borderId="2" xfId="0" applyFont="1" applyFill="1" applyBorder="1" applyAlignment="1">
      <alignment horizontal="center"/>
    </xf>
    <xf numFmtId="0" fontId="0" fillId="5" borderId="96" xfId="0" applyFill="1" applyBorder="1" applyAlignment="1">
      <alignment horizontal="center"/>
    </xf>
    <xf numFmtId="0" fontId="0" fillId="5" borderId="91" xfId="0" applyFill="1" applyBorder="1" applyAlignment="1">
      <alignment horizontal="center"/>
    </xf>
    <xf numFmtId="0" fontId="0" fillId="5" borderId="84" xfId="0" applyFill="1" applyBorder="1" applyAlignment="1">
      <alignment horizontal="center"/>
    </xf>
    <xf numFmtId="0" fontId="0" fillId="5" borderId="97" xfId="0" applyFill="1" applyBorder="1" applyAlignment="1">
      <alignment horizontal="center"/>
    </xf>
    <xf numFmtId="0" fontId="0" fillId="5" borderId="98" xfId="0" applyFill="1" applyBorder="1" applyAlignment="1">
      <alignment horizontal="center"/>
    </xf>
    <xf numFmtId="0" fontId="0" fillId="5" borderId="99" xfId="0" applyFill="1" applyBorder="1" applyAlignment="1">
      <alignment horizontal="center"/>
    </xf>
    <xf numFmtId="0" fontId="0" fillId="5" borderId="80" xfId="0" applyFill="1" applyBorder="1"/>
    <xf numFmtId="0" fontId="0" fillId="5" borderId="100" xfId="0" applyFill="1" applyBorder="1" applyAlignment="1">
      <alignment horizontal="center"/>
    </xf>
    <xf numFmtId="0" fontId="0" fillId="5" borderId="103" xfId="0" applyFill="1" applyBorder="1"/>
    <xf numFmtId="0" fontId="15" fillId="0" borderId="69" xfId="0" applyFont="1" applyBorder="1" applyAlignment="1">
      <alignment horizontal="center"/>
    </xf>
    <xf numFmtId="0" fontId="15" fillId="0" borderId="184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15" fillId="0" borderId="67" xfId="0" applyFont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24" fillId="0" borderId="0" xfId="0" applyFont="1" applyAlignment="1">
      <alignment horizontal="center"/>
    </xf>
    <xf numFmtId="20" fontId="27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distributed" vertical="distributed"/>
    </xf>
    <xf numFmtId="0" fontId="2" fillId="0" borderId="0" xfId="0" applyFont="1" applyAlignment="1">
      <alignment horizontal="distributed"/>
    </xf>
    <xf numFmtId="0" fontId="15" fillId="0" borderId="0" xfId="0" applyFont="1" applyAlignment="1">
      <alignment horizontal="distributed" vertical="distributed"/>
    </xf>
    <xf numFmtId="0" fontId="3" fillId="0" borderId="0" xfId="0" applyFont="1" applyAlignment="1">
      <alignment vertical="distributed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56" fontId="24" fillId="0" borderId="0" xfId="0" applyNumberFormat="1" applyFont="1"/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32" fillId="0" borderId="0" xfId="0" applyFont="1"/>
    <xf numFmtId="0" fontId="31" fillId="0" borderId="0" xfId="0" applyFont="1"/>
    <xf numFmtId="0" fontId="10" fillId="0" borderId="201" xfId="0" applyFont="1" applyBorder="1" applyAlignment="1">
      <alignment horizontal="center" vertical="center"/>
    </xf>
    <xf numFmtId="0" fontId="10" fillId="0" borderId="195" xfId="0" applyFont="1" applyBorder="1" applyAlignment="1">
      <alignment horizontal="center" vertical="center"/>
    </xf>
    <xf numFmtId="0" fontId="10" fillId="0" borderId="202" xfId="0" applyFont="1" applyBorder="1" applyAlignment="1">
      <alignment horizontal="center" vertical="center" wrapText="1"/>
    </xf>
    <xf numFmtId="0" fontId="10" fillId="0" borderId="192" xfId="0" applyFont="1" applyBorder="1" applyAlignment="1">
      <alignment horizontal="center" vertical="center"/>
    </xf>
    <xf numFmtId="0" fontId="10" fillId="0" borderId="193" xfId="0" applyFont="1" applyBorder="1" applyAlignment="1">
      <alignment horizontal="center" vertical="center"/>
    </xf>
    <xf numFmtId="0" fontId="0" fillId="0" borderId="193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25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0" xfId="0" quotePrefix="1" applyAlignment="1">
      <alignment horizontal="center"/>
    </xf>
    <xf numFmtId="0" fontId="24" fillId="0" borderId="0" xfId="0" applyFont="1" applyAlignment="1">
      <alignment vertical="center"/>
    </xf>
    <xf numFmtId="0" fontId="0" fillId="0" borderId="183" xfId="0" applyBorder="1"/>
    <xf numFmtId="0" fontId="10" fillId="0" borderId="193" xfId="0" applyFont="1" applyBorder="1" applyAlignment="1">
      <alignment horizontal="center" vertical="center" wrapText="1"/>
    </xf>
    <xf numFmtId="0" fontId="10" fillId="0" borderId="147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15" fillId="0" borderId="193" xfId="0" applyFont="1" applyBorder="1" applyAlignment="1">
      <alignment vertical="center"/>
    </xf>
    <xf numFmtId="0" fontId="0" fillId="0" borderId="193" xfId="0" applyBorder="1"/>
    <xf numFmtId="0" fontId="15" fillId="0" borderId="193" xfId="0" applyFont="1" applyBorder="1" applyAlignment="1">
      <alignment horizontal="center" vertical="center"/>
    </xf>
    <xf numFmtId="0" fontId="15" fillId="0" borderId="193" xfId="0" quotePrefix="1" applyFont="1" applyBorder="1" applyAlignment="1">
      <alignment horizontal="center" vertical="center"/>
    </xf>
    <xf numFmtId="0" fontId="0" fillId="0" borderId="202" xfId="0" applyBorder="1" applyAlignment="1">
      <alignment vertical="center"/>
    </xf>
    <xf numFmtId="0" fontId="0" fillId="0" borderId="199" xfId="0" applyBorder="1" applyAlignment="1">
      <alignment vertical="center"/>
    </xf>
    <xf numFmtId="0" fontId="0" fillId="0" borderId="195" xfId="0" applyBorder="1" applyAlignment="1">
      <alignment vertical="center"/>
    </xf>
    <xf numFmtId="0" fontId="0" fillId="0" borderId="184" xfId="0" applyBorder="1"/>
    <xf numFmtId="0" fontId="0" fillId="0" borderId="67" xfId="0" applyBorder="1"/>
    <xf numFmtId="0" fontId="0" fillId="0" borderId="204" xfId="0" applyBorder="1"/>
    <xf numFmtId="0" fontId="0" fillId="0" borderId="193" xfId="0" applyBorder="1" applyAlignment="1">
      <alignment horizontal="center"/>
    </xf>
    <xf numFmtId="0" fontId="0" fillId="0" borderId="205" xfId="0" applyBorder="1"/>
    <xf numFmtId="0" fontId="0" fillId="0" borderId="109" xfId="0" applyBorder="1"/>
    <xf numFmtId="0" fontId="0" fillId="0" borderId="69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6" xfId="0" applyBorder="1" applyAlignment="1">
      <alignment horizontal="right"/>
    </xf>
    <xf numFmtId="0" fontId="0" fillId="0" borderId="25" xfId="0" applyBorder="1"/>
    <xf numFmtId="0" fontId="0" fillId="0" borderId="183" xfId="0" applyBorder="1" applyAlignment="1">
      <alignment horizontal="center" vertical="center"/>
    </xf>
    <xf numFmtId="0" fontId="3" fillId="0" borderId="26" xfId="0" applyFont="1" applyBorder="1"/>
    <xf numFmtId="0" fontId="3" fillId="0" borderId="33" xfId="0" applyFont="1" applyBorder="1"/>
    <xf numFmtId="0" fontId="3" fillId="0" borderId="16" xfId="0" applyFont="1" applyBorder="1"/>
    <xf numFmtId="0" fontId="3" fillId="0" borderId="29" xfId="0" applyFont="1" applyBorder="1"/>
    <xf numFmtId="0" fontId="3" fillId="0" borderId="34" xfId="0" applyFont="1" applyBorder="1"/>
    <xf numFmtId="0" fontId="3" fillId="0" borderId="41" xfId="0" applyFont="1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06" xfId="0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0" fontId="0" fillId="0" borderId="207" xfId="0" applyBorder="1" applyAlignment="1">
      <alignment horizontal="center" vertical="center" shrinkToFit="1"/>
    </xf>
    <xf numFmtId="0" fontId="0" fillId="0" borderId="207" xfId="0" applyBorder="1" applyAlignment="1">
      <alignment horizontal="center" vertical="center"/>
    </xf>
    <xf numFmtId="0" fontId="0" fillId="0" borderId="194" xfId="0" applyBorder="1" applyAlignment="1">
      <alignment horizontal="center" vertical="center"/>
    </xf>
    <xf numFmtId="0" fontId="10" fillId="0" borderId="208" xfId="0" applyFont="1" applyBorder="1" applyAlignment="1">
      <alignment horizontal="center" vertical="center"/>
    </xf>
    <xf numFmtId="0" fontId="10" fillId="0" borderId="183" xfId="0" applyFont="1" applyBorder="1" applyAlignment="1">
      <alignment horizontal="center" vertical="center"/>
    </xf>
    <xf numFmtId="0" fontId="10" fillId="0" borderId="205" xfId="0" applyFont="1" applyBorder="1" applyAlignment="1">
      <alignment horizontal="center" vertical="center" wrapText="1"/>
    </xf>
    <xf numFmtId="0" fontId="10" fillId="0" borderId="184" xfId="0" applyFont="1" applyBorder="1" applyAlignment="1">
      <alignment horizontal="center" vertical="center" wrapText="1"/>
    </xf>
    <xf numFmtId="0" fontId="10" fillId="0" borderId="206" xfId="0" applyFont="1" applyBorder="1" applyAlignment="1">
      <alignment horizontal="center" vertical="center"/>
    </xf>
    <xf numFmtId="0" fontId="10" fillId="0" borderId="205" xfId="0" applyFont="1" applyBorder="1" applyAlignment="1">
      <alignment horizontal="center" vertical="center"/>
    </xf>
    <xf numFmtId="0" fontId="10" fillId="0" borderId="194" xfId="0" applyFont="1" applyBorder="1" applyAlignment="1">
      <alignment horizontal="center" vertical="center" wrapText="1" shrinkToFit="1"/>
    </xf>
    <xf numFmtId="0" fontId="15" fillId="0" borderId="0" xfId="0" quotePrefix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209" xfId="0" applyBorder="1"/>
    <xf numFmtId="0" fontId="0" fillId="0" borderId="210" xfId="0" applyBorder="1"/>
    <xf numFmtId="0" fontId="0" fillId="0" borderId="211" xfId="0" applyBorder="1"/>
    <xf numFmtId="0" fontId="0" fillId="0" borderId="212" xfId="0" applyBorder="1"/>
    <xf numFmtId="0" fontId="5" fillId="0" borderId="210" xfId="0" applyFont="1" applyBorder="1"/>
    <xf numFmtId="0" fontId="5" fillId="0" borderId="211" xfId="0" applyFont="1" applyBorder="1"/>
    <xf numFmtId="0" fontId="5" fillId="0" borderId="0" xfId="0" applyFont="1" applyAlignment="1">
      <alignment horizontal="right"/>
    </xf>
    <xf numFmtId="0" fontId="5" fillId="0" borderId="212" xfId="0" applyFont="1" applyBorder="1" applyAlignment="1">
      <alignment horizontal="right"/>
    </xf>
    <xf numFmtId="0" fontId="0" fillId="0" borderId="213" xfId="0" applyBorder="1"/>
    <xf numFmtId="0" fontId="0" fillId="0" borderId="214" xfId="0" applyBorder="1"/>
    <xf numFmtId="0" fontId="0" fillId="0" borderId="215" xfId="0" applyBorder="1"/>
    <xf numFmtId="0" fontId="0" fillId="0" borderId="216" xfId="0" applyBorder="1"/>
    <xf numFmtId="0" fontId="0" fillId="0" borderId="217" xfId="0" applyBorder="1"/>
    <xf numFmtId="0" fontId="24" fillId="0" borderId="218" xfId="0" applyFont="1" applyBorder="1"/>
    <xf numFmtId="0" fontId="13" fillId="0" borderId="219" xfId="0" applyFont="1" applyBorder="1" applyAlignment="1">
      <alignment horizontal="right" vertical="center"/>
    </xf>
    <xf numFmtId="0" fontId="13" fillId="0" borderId="220" xfId="0" applyFont="1" applyBorder="1" applyAlignment="1">
      <alignment horizontal="right" vertical="center"/>
    </xf>
    <xf numFmtId="0" fontId="13" fillId="0" borderId="221" xfId="0" applyFont="1" applyBorder="1"/>
    <xf numFmtId="0" fontId="13" fillId="0" borderId="218" xfId="0" applyFont="1" applyBorder="1"/>
    <xf numFmtId="0" fontId="13" fillId="0" borderId="222" xfId="0" applyFont="1" applyBorder="1"/>
    <xf numFmtId="0" fontId="13" fillId="0" borderId="218" xfId="0" applyFont="1" applyBorder="1" applyAlignment="1">
      <alignment horizontal="right" vertical="center"/>
    </xf>
    <xf numFmtId="0" fontId="13" fillId="0" borderId="223" xfId="0" applyFont="1" applyBorder="1"/>
    <xf numFmtId="0" fontId="24" fillId="0" borderId="224" xfId="0" applyFont="1" applyBorder="1"/>
    <xf numFmtId="0" fontId="13" fillId="0" borderId="225" xfId="0" applyFont="1" applyBorder="1" applyAlignment="1">
      <alignment horizontal="right" vertical="center"/>
    </xf>
    <xf numFmtId="0" fontId="13" fillId="0" borderId="226" xfId="0" applyFont="1" applyBorder="1" applyAlignment="1">
      <alignment horizontal="right" vertical="center"/>
    </xf>
    <xf numFmtId="0" fontId="13" fillId="0" borderId="227" xfId="0" applyFont="1" applyBorder="1"/>
    <xf numFmtId="0" fontId="13" fillId="0" borderId="228" xfId="0" applyFont="1" applyBorder="1"/>
    <xf numFmtId="0" fontId="13" fillId="0" borderId="229" xfId="0" applyFont="1" applyBorder="1"/>
    <xf numFmtId="0" fontId="5" fillId="0" borderId="99" xfId="0" applyFont="1" applyBorder="1" applyAlignment="1">
      <alignment horizontal="right" vertical="center"/>
    </xf>
    <xf numFmtId="0" fontId="0" fillId="0" borderId="99" xfId="0" applyBorder="1"/>
    <xf numFmtId="0" fontId="0" fillId="0" borderId="230" xfId="0" applyBorder="1"/>
    <xf numFmtId="0" fontId="5" fillId="0" borderId="230" xfId="0" applyFont="1" applyBorder="1"/>
    <xf numFmtId="0" fontId="5" fillId="0" borderId="231" xfId="0" applyFont="1" applyBorder="1" applyAlignment="1">
      <alignment horizontal="right" vertical="center"/>
    </xf>
    <xf numFmtId="0" fontId="5" fillId="0" borderId="232" xfId="0" applyFont="1" applyBorder="1" applyAlignment="1">
      <alignment horizontal="right" vertical="center"/>
    </xf>
    <xf numFmtId="0" fontId="0" fillId="0" borderId="233" xfId="0" applyBorder="1"/>
    <xf numFmtId="0" fontId="5" fillId="0" borderId="99" xfId="0" applyFont="1" applyBorder="1" applyAlignment="1">
      <alignment horizontal="right"/>
    </xf>
    <xf numFmtId="0" fontId="5" fillId="0" borderId="99" xfId="0" applyFont="1" applyBorder="1"/>
    <xf numFmtId="0" fontId="0" fillId="0" borderId="100" xfId="0" applyBorder="1"/>
    <xf numFmtId="0" fontId="5" fillId="0" borderId="234" xfId="0" applyFont="1" applyBorder="1" applyAlignment="1">
      <alignment horizontal="right" vertical="center"/>
    </xf>
    <xf numFmtId="0" fontId="5" fillId="0" borderId="235" xfId="0" applyFont="1" applyBorder="1" applyAlignment="1">
      <alignment horizontal="right" vertical="center"/>
    </xf>
    <xf numFmtId="0" fontId="0" fillId="0" borderId="236" xfId="0" applyBorder="1"/>
    <xf numFmtId="0" fontId="0" fillId="0" borderId="237" xfId="0" applyBorder="1"/>
    <xf numFmtId="0" fontId="5" fillId="0" borderId="100" xfId="0" applyFont="1" applyBorder="1" applyAlignment="1">
      <alignment horizontal="right" vertical="center"/>
    </xf>
    <xf numFmtId="0" fontId="5" fillId="0" borderId="236" xfId="0" applyFont="1" applyBorder="1"/>
    <xf numFmtId="0" fontId="34" fillId="0" borderId="0" xfId="0" applyFont="1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35" fillId="0" borderId="0" xfId="0" applyFont="1" applyAlignment="1">
      <alignment horizontal="right"/>
    </xf>
    <xf numFmtId="0" fontId="28" fillId="0" borderId="0" xfId="0" applyFont="1"/>
    <xf numFmtId="0" fontId="36" fillId="0" borderId="209" xfId="0" applyFont="1" applyBorder="1"/>
    <xf numFmtId="0" fontId="0" fillId="0" borderId="238" xfId="0" applyBorder="1"/>
    <xf numFmtId="0" fontId="0" fillId="0" borderId="239" xfId="0" applyBorder="1"/>
    <xf numFmtId="0" fontId="0" fillId="0" borderId="240" xfId="0" applyBorder="1"/>
    <xf numFmtId="0" fontId="37" fillId="0" borderId="0" xfId="0" applyFont="1"/>
    <xf numFmtId="0" fontId="0" fillId="0" borderId="241" xfId="0" applyBorder="1"/>
    <xf numFmtId="0" fontId="0" fillId="0" borderId="242" xfId="0" applyBorder="1"/>
    <xf numFmtId="0" fontId="0" fillId="0" borderId="242" xfId="0" applyBorder="1" applyAlignment="1">
      <alignment horizontal="center"/>
    </xf>
    <xf numFmtId="0" fontId="0" fillId="0" borderId="243" xfId="0" applyBorder="1"/>
    <xf numFmtId="0" fontId="0" fillId="1" borderId="0" xfId="0" applyFill="1"/>
    <xf numFmtId="0" fontId="36" fillId="1" borderId="0" xfId="0" applyFont="1" applyFill="1"/>
    <xf numFmtId="0" fontId="0" fillId="1" borderId="0" xfId="0" applyFill="1" applyAlignment="1">
      <alignment horizontal="right"/>
    </xf>
    <xf numFmtId="0" fontId="0" fillId="0" borderId="244" xfId="0" applyBorder="1"/>
    <xf numFmtId="0" fontId="0" fillId="0" borderId="245" xfId="0" applyBorder="1"/>
    <xf numFmtId="0" fontId="0" fillId="0" borderId="246" xfId="0" applyBorder="1"/>
    <xf numFmtId="0" fontId="0" fillId="0" borderId="247" xfId="0" applyBorder="1"/>
    <xf numFmtId="0" fontId="0" fillId="1" borderId="246" xfId="0" applyFill="1" applyBorder="1" applyAlignment="1">
      <alignment horizontal="center"/>
    </xf>
    <xf numFmtId="0" fontId="0" fillId="1" borderId="246" xfId="0" applyFill="1" applyBorder="1"/>
    <xf numFmtId="0" fontId="0" fillId="0" borderId="246" xfId="0" applyBorder="1" applyAlignment="1">
      <alignment horizontal="center"/>
    </xf>
    <xf numFmtId="0" fontId="0" fillId="0" borderId="248" xfId="0" applyBorder="1"/>
    <xf numFmtId="0" fontId="0" fillId="0" borderId="249" xfId="0" applyBorder="1"/>
    <xf numFmtId="0" fontId="0" fillId="0" borderId="250" xfId="0" applyBorder="1"/>
    <xf numFmtId="0" fontId="0" fillId="0" borderId="249" xfId="0" applyBorder="1" applyAlignment="1">
      <alignment horizontal="center"/>
    </xf>
    <xf numFmtId="0" fontId="5" fillId="0" borderId="211" xfId="0" applyFont="1" applyBorder="1" applyAlignment="1">
      <alignment horizontal="center"/>
    </xf>
    <xf numFmtId="0" fontId="0" fillId="0" borderId="114" xfId="0" applyBorder="1"/>
    <xf numFmtId="0" fontId="5" fillId="0" borderId="213" xfId="0" applyFont="1" applyBorder="1"/>
    <xf numFmtId="0" fontId="0" fillId="0" borderId="213" xfId="0" applyBorder="1" applyAlignment="1">
      <alignment horizontal="center"/>
    </xf>
    <xf numFmtId="0" fontId="5" fillId="0" borderId="219" xfId="0" applyFont="1" applyBorder="1" applyAlignment="1">
      <alignment horizontal="right" vertical="center"/>
    </xf>
    <xf numFmtId="0" fontId="5" fillId="0" borderId="220" xfId="0" applyFont="1" applyBorder="1" applyAlignment="1">
      <alignment horizontal="right" vertical="center"/>
    </xf>
    <xf numFmtId="0" fontId="5" fillId="0" borderId="218" xfId="0" applyFont="1" applyBorder="1" applyAlignment="1">
      <alignment horizontal="right" vertical="center"/>
    </xf>
    <xf numFmtId="0" fontId="5" fillId="0" borderId="221" xfId="0" applyFont="1" applyBorder="1" applyAlignment="1">
      <alignment horizontal="right" vertical="center"/>
    </xf>
    <xf numFmtId="0" fontId="5" fillId="0" borderId="223" xfId="0" applyFont="1" applyBorder="1"/>
    <xf numFmtId="0" fontId="5" fillId="0" borderId="218" xfId="0" applyFont="1" applyBorder="1"/>
    <xf numFmtId="0" fontId="5" fillId="0" borderId="221" xfId="0" applyFont="1" applyBorder="1"/>
    <xf numFmtId="0" fontId="5" fillId="0" borderId="225" xfId="0" applyFont="1" applyBorder="1" applyAlignment="1">
      <alignment horizontal="right" vertical="center"/>
    </xf>
    <xf numFmtId="0" fontId="5" fillId="0" borderId="226" xfId="0" applyFont="1" applyBorder="1" applyAlignment="1">
      <alignment horizontal="right" vertical="center"/>
    </xf>
    <xf numFmtId="0" fontId="5" fillId="0" borderId="228" xfId="0" applyFont="1" applyBorder="1" applyAlignment="1">
      <alignment horizontal="right" vertical="center"/>
    </xf>
    <xf numFmtId="0" fontId="0" fillId="0" borderId="252" xfId="0" applyBorder="1"/>
    <xf numFmtId="0" fontId="5" fillId="0" borderId="236" xfId="0" applyFont="1" applyBorder="1" applyAlignment="1">
      <alignment horizontal="right" vertical="center"/>
    </xf>
    <xf numFmtId="0" fontId="0" fillId="0" borderId="253" xfId="0" applyBorder="1"/>
    <xf numFmtId="0" fontId="7" fillId="0" borderId="100" xfId="0" applyFont="1" applyBorder="1"/>
    <xf numFmtId="0" fontId="2" fillId="0" borderId="0" xfId="0" applyFont="1" applyAlignment="1">
      <alignment horizontal="distributed" vertical="distributed"/>
    </xf>
    <xf numFmtId="0" fontId="15" fillId="0" borderId="0" xfId="0" applyFont="1" applyAlignment="1">
      <alignment horizontal="distributed" vertical="distributed"/>
    </xf>
    <xf numFmtId="0" fontId="2" fillId="0" borderId="0" xfId="0" applyFont="1" applyAlignment="1">
      <alignment horizontal="distributed"/>
    </xf>
    <xf numFmtId="0" fontId="15" fillId="0" borderId="0" xfId="0" applyFont="1" applyAlignment="1">
      <alignment horizontal="distributed"/>
    </xf>
    <xf numFmtId="0" fontId="2" fillId="0" borderId="0" xfId="0" applyFont="1" applyAlignment="1">
      <alignment horizontal="left" vertical="distributed"/>
    </xf>
    <xf numFmtId="0" fontId="15" fillId="0" borderId="0" xfId="0" applyFont="1" applyAlignment="1">
      <alignment horizontal="left" vertical="distributed"/>
    </xf>
    <xf numFmtId="0" fontId="9" fillId="0" borderId="0" xfId="0" applyFont="1" applyAlignment="1">
      <alignment horizontal="center" vertical="distributed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96" xfId="0" applyFont="1" applyBorder="1" applyAlignment="1">
      <alignment vertical="center" shrinkToFit="1"/>
    </xf>
    <xf numFmtId="0" fontId="5" fillId="0" borderId="197" xfId="0" applyFont="1" applyBorder="1" applyAlignment="1">
      <alignment vertical="center" shrinkToFit="1"/>
    </xf>
    <xf numFmtId="0" fontId="5" fillId="0" borderId="198" xfId="0" applyFont="1" applyBorder="1" applyAlignment="1">
      <alignment vertical="center" shrinkToFit="1"/>
    </xf>
    <xf numFmtId="20" fontId="5" fillId="0" borderId="162" xfId="0" applyNumberFormat="1" applyFont="1" applyBorder="1" applyAlignment="1">
      <alignment vertical="center"/>
    </xf>
    <xf numFmtId="0" fontId="0" fillId="0" borderId="163" xfId="0" applyBorder="1" applyAlignment="1">
      <alignment vertical="center"/>
    </xf>
    <xf numFmtId="0" fontId="0" fillId="0" borderId="164" xfId="0" applyBorder="1" applyAlignment="1">
      <alignment vertical="center"/>
    </xf>
    <xf numFmtId="0" fontId="3" fillId="0" borderId="165" xfId="0" applyFont="1" applyBorder="1" applyAlignment="1">
      <alignment horizontal="center" vertical="center" textRotation="255"/>
    </xf>
    <xf numFmtId="0" fontId="3" fillId="0" borderId="6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71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66" xfId="0" applyFont="1" applyBorder="1" applyAlignment="1">
      <alignment horizontal="center" vertical="center"/>
    </xf>
    <xf numFmtId="0" fontId="3" fillId="0" borderId="167" xfId="0" applyFont="1" applyBorder="1" applyAlignment="1">
      <alignment horizontal="center" vertical="center"/>
    </xf>
    <xf numFmtId="0" fontId="3" fillId="0" borderId="16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0" borderId="169" xfId="0" applyFont="1" applyBorder="1" applyAlignment="1">
      <alignment horizontal="center" vertical="center"/>
    </xf>
    <xf numFmtId="0" fontId="15" fillId="0" borderId="170" xfId="0" applyFont="1" applyBorder="1" applyAlignment="1">
      <alignment horizontal="center" vertical="center"/>
    </xf>
    <xf numFmtId="0" fontId="15" fillId="0" borderId="171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left" vertical="center"/>
    </xf>
    <xf numFmtId="0" fontId="3" fillId="0" borderId="172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0" fillId="0" borderId="173" xfId="0" applyFont="1" applyBorder="1" applyAlignment="1">
      <alignment horizontal="center" vertical="center"/>
    </xf>
    <xf numFmtId="0" fontId="10" fillId="0" borderId="17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7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91" xfId="0" applyFont="1" applyBorder="1" applyAlignment="1">
      <alignment horizontal="center" vertical="center"/>
    </xf>
    <xf numFmtId="0" fontId="10" fillId="0" borderId="199" xfId="0" applyFont="1" applyBorder="1" applyAlignment="1">
      <alignment horizontal="center" vertical="center"/>
    </xf>
    <xf numFmtId="0" fontId="10" fillId="0" borderId="20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99" xfId="0" applyBorder="1" applyAlignment="1">
      <alignment horizontal="center" vertical="center"/>
    </xf>
    <xf numFmtId="0" fontId="0" fillId="0" borderId="200" xfId="0" applyBorder="1" applyAlignment="1">
      <alignment horizontal="center" vertical="center"/>
    </xf>
    <xf numFmtId="0" fontId="15" fillId="0" borderId="176" xfId="0" applyFont="1" applyBorder="1" applyAlignment="1">
      <alignment horizontal="center" vertical="center"/>
    </xf>
    <xf numFmtId="0" fontId="15" fillId="0" borderId="177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/>
    </xf>
    <xf numFmtId="0" fontId="15" fillId="0" borderId="154" xfId="0" applyFont="1" applyBorder="1" applyAlignment="1">
      <alignment horizontal="center" vertical="center"/>
    </xf>
    <xf numFmtId="0" fontId="15" fillId="0" borderId="17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79" xfId="0" applyFont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/>
    </xf>
    <xf numFmtId="0" fontId="11" fillId="0" borderId="166" xfId="0" applyFont="1" applyBorder="1" applyAlignment="1">
      <alignment horizontal="center" vertical="center"/>
    </xf>
    <xf numFmtId="0" fontId="15" fillId="0" borderId="167" xfId="0" applyFont="1" applyBorder="1" applyAlignment="1">
      <alignment horizontal="center" vertical="center"/>
    </xf>
    <xf numFmtId="0" fontId="15" fillId="0" borderId="16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56" fontId="15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0" xfId="0" applyFont="1"/>
    <xf numFmtId="56" fontId="7" fillId="0" borderId="0" xfId="0" applyNumberFormat="1" applyFont="1"/>
    <xf numFmtId="0" fontId="24" fillId="0" borderId="0" xfId="0" applyFont="1" applyAlignment="1">
      <alignment vertical="center"/>
    </xf>
    <xf numFmtId="0" fontId="0" fillId="5" borderId="181" xfId="0" applyFill="1" applyBorder="1" applyAlignment="1">
      <alignment vertical="top" textRotation="255"/>
    </xf>
    <xf numFmtId="0" fontId="0" fillId="5" borderId="113" xfId="0" applyFill="1" applyBorder="1" applyAlignment="1">
      <alignment vertical="top" textRotation="255"/>
    </xf>
    <xf numFmtId="0" fontId="0" fillId="5" borderId="7" xfId="0" applyFill="1" applyBorder="1" applyAlignment="1">
      <alignment vertical="top" textRotation="255"/>
    </xf>
    <xf numFmtId="0" fontId="0" fillId="5" borderId="182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5" borderId="157" xfId="0" applyFill="1" applyBorder="1" applyAlignment="1">
      <alignment horizontal="center" vertical="center"/>
    </xf>
    <xf numFmtId="0" fontId="0" fillId="5" borderId="118" xfId="0" applyFill="1" applyBorder="1" applyAlignment="1">
      <alignment vertical="center" textRotation="255"/>
    </xf>
    <xf numFmtId="0" fontId="0" fillId="5" borderId="109" xfId="0" applyFill="1" applyBorder="1" applyAlignment="1">
      <alignment vertical="center" textRotation="255"/>
    </xf>
    <xf numFmtId="0" fontId="0" fillId="5" borderId="115" xfId="0" applyFill="1" applyBorder="1" applyAlignment="1">
      <alignment vertical="center" textRotation="255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15" xfId="0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0" fillId="5" borderId="10" xfId="0" applyFill="1" applyBorder="1" applyAlignment="1">
      <alignment horizontal="center" vertical="center"/>
    </xf>
    <xf numFmtId="0" fontId="0" fillId="5" borderId="109" xfId="0" applyFill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51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0" fillId="0" borderId="193" xfId="0" applyBorder="1" applyAlignment="1">
      <alignment horizontal="center"/>
    </xf>
    <xf numFmtId="0" fontId="0" fillId="0" borderId="18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8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03" xfId="0" applyBorder="1" applyAlignment="1">
      <alignment horizontal="center"/>
    </xf>
    <xf numFmtId="0" fontId="0" fillId="0" borderId="202" xfId="0" applyBorder="1" applyAlignment="1">
      <alignment horizontal="center"/>
    </xf>
    <xf numFmtId="0" fontId="0" fillId="0" borderId="199" xfId="0" applyBorder="1" applyAlignment="1">
      <alignment horizontal="center"/>
    </xf>
    <xf numFmtId="0" fontId="0" fillId="0" borderId="195" xfId="0" applyBorder="1" applyAlignment="1">
      <alignment horizontal="center"/>
    </xf>
    <xf numFmtId="0" fontId="15" fillId="0" borderId="193" xfId="0" applyFont="1" applyBorder="1" applyAlignment="1">
      <alignment horizontal="right" vertical="center"/>
    </xf>
    <xf numFmtId="0" fontId="0" fillId="0" borderId="193" xfId="0" applyBorder="1" applyAlignment="1">
      <alignment horizontal="right" vertical="center"/>
    </xf>
    <xf numFmtId="0" fontId="15" fillId="0" borderId="193" xfId="0" applyFont="1" applyBorder="1" applyAlignment="1">
      <alignment horizontal="center" vertical="center"/>
    </xf>
    <xf numFmtId="0" fontId="0" fillId="0" borderId="193" xfId="0" applyBorder="1" applyAlignment="1">
      <alignment horizontal="center" vertical="center"/>
    </xf>
    <xf numFmtId="0" fontId="15" fillId="0" borderId="19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0" borderId="67" xfId="0" applyFont="1" applyBorder="1" applyAlignment="1">
      <alignment vertical="center"/>
    </xf>
    <xf numFmtId="0" fontId="15" fillId="0" borderId="68" xfId="0" applyFont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0</xdr:row>
      <xdr:rowOff>47625</xdr:rowOff>
    </xdr:from>
    <xdr:to>
      <xdr:col>21</xdr:col>
      <xdr:colOff>276225</xdr:colOff>
      <xdr:row>27</xdr:row>
      <xdr:rowOff>19050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861F7AD0-C29A-471A-AE7A-51F0328C9773}"/>
            </a:ext>
          </a:extLst>
        </xdr:cNvPr>
        <xdr:cNvSpPr>
          <a:spLocks/>
        </xdr:cNvSpPr>
      </xdr:nvSpPr>
      <xdr:spPr bwMode="auto">
        <a:xfrm>
          <a:off x="6597650" y="47625"/>
          <a:ext cx="2581275" cy="4441825"/>
        </a:xfrm>
        <a:custGeom>
          <a:avLst/>
          <a:gdLst>
            <a:gd name="T0" fmla="*/ 0 w 297"/>
            <a:gd name="T1" fmla="*/ 2147483646 h 485"/>
            <a:gd name="T2" fmla="*/ 2147483646 w 297"/>
            <a:gd name="T3" fmla="*/ 2147483646 h 485"/>
            <a:gd name="T4" fmla="*/ 2147483646 w 297"/>
            <a:gd name="T5" fmla="*/ 2147483646 h 485"/>
            <a:gd name="T6" fmla="*/ 2147483646 w 297"/>
            <a:gd name="T7" fmla="*/ 2147483646 h 485"/>
            <a:gd name="T8" fmla="*/ 2147483646 w 297"/>
            <a:gd name="T9" fmla="*/ 2147483646 h 485"/>
            <a:gd name="T10" fmla="*/ 2147483646 w 297"/>
            <a:gd name="T11" fmla="*/ 2147483646 h 485"/>
            <a:gd name="T12" fmla="*/ 2147483646 w 297"/>
            <a:gd name="T13" fmla="*/ 2147483646 h 485"/>
            <a:gd name="T14" fmla="*/ 2147483646 w 297"/>
            <a:gd name="T15" fmla="*/ 0 h 485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97"/>
            <a:gd name="T25" fmla="*/ 0 h 485"/>
            <a:gd name="T26" fmla="*/ 251 w 297"/>
            <a:gd name="T27" fmla="*/ 343 h 485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97" h="485">
              <a:moveTo>
                <a:pt x="168" y="485"/>
              </a:moveTo>
              <a:cubicBezTo>
                <a:pt x="175" y="480"/>
                <a:pt x="197" y="466"/>
                <a:pt x="212" y="455"/>
              </a:cubicBezTo>
              <a:cubicBezTo>
                <a:pt x="228" y="443"/>
                <a:pt x="248" y="439"/>
                <a:pt x="261" y="415"/>
              </a:cubicBezTo>
              <a:cubicBezTo>
                <a:pt x="274" y="390"/>
                <a:pt x="290" y="347"/>
                <a:pt x="293" y="309"/>
              </a:cubicBezTo>
              <a:cubicBezTo>
                <a:pt x="297" y="271"/>
                <a:pt x="296" y="227"/>
                <a:pt x="283" y="184"/>
              </a:cubicBezTo>
              <a:cubicBezTo>
                <a:pt x="270" y="141"/>
                <a:pt x="264" y="82"/>
                <a:pt x="217" y="51"/>
              </a:cubicBezTo>
              <a:cubicBezTo>
                <a:pt x="170" y="20"/>
                <a:pt x="45" y="11"/>
                <a:pt x="0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17</xdr:col>
      <xdr:colOff>28575</xdr:colOff>
      <xdr:row>26</xdr:row>
      <xdr:rowOff>161925</xdr:rowOff>
    </xdr:from>
    <xdr:to>
      <xdr:col>19</xdr:col>
      <xdr:colOff>371475</xdr:colOff>
      <xdr:row>27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BD73FFE-4016-4338-8C76-B0A28BBB913A}"/>
            </a:ext>
          </a:extLst>
        </xdr:cNvPr>
        <xdr:cNvSpPr>
          <a:spLocks noChangeShapeType="1"/>
        </xdr:cNvSpPr>
      </xdr:nvSpPr>
      <xdr:spPr bwMode="auto">
        <a:xfrm>
          <a:off x="7013575" y="4467225"/>
          <a:ext cx="1054100" cy="12700"/>
        </a:xfrm>
        <a:custGeom>
          <a:avLst/>
          <a:gdLst>
            <a:gd name="T0" fmla="*/ 0 w 126"/>
            <a:gd name="T1" fmla="*/ 0 h 2"/>
            <a:gd name="T2" fmla="*/ 2147483646 w 126"/>
            <a:gd name="T3" fmla="*/ 2147483646 h 2"/>
            <a:gd name="T4" fmla="*/ 0 60000 65536"/>
            <a:gd name="T5" fmla="*/ 0 60000 65536"/>
            <a:gd name="T6" fmla="*/ 0 w 126"/>
            <a:gd name="T7" fmla="*/ 0 h 2"/>
            <a:gd name="T8" fmla="*/ 126 w 126"/>
            <a:gd name="T9" fmla="*/ 2 h 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26" h="2">
              <a:moveTo>
                <a:pt x="0" y="0"/>
              </a:moveTo>
              <a:lnTo>
                <a:pt x="126" y="2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381000</xdr:colOff>
      <xdr:row>27</xdr:row>
      <xdr:rowOff>28575</xdr:rowOff>
    </xdr:from>
    <xdr:to>
      <xdr:col>13</xdr:col>
      <xdr:colOff>390525</xdr:colOff>
      <xdr:row>34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6BA2D43-957D-4B7E-9DBC-4C3AA2815079}"/>
            </a:ext>
          </a:extLst>
        </xdr:cNvPr>
        <xdr:cNvSpPr>
          <a:spLocks noChangeShapeType="1"/>
        </xdr:cNvSpPr>
      </xdr:nvSpPr>
      <xdr:spPr bwMode="auto">
        <a:xfrm>
          <a:off x="5562600" y="4498975"/>
          <a:ext cx="352425" cy="1209675"/>
        </a:xfrm>
        <a:custGeom>
          <a:avLst/>
          <a:gdLst>
            <a:gd name="T0" fmla="*/ 0 w 46"/>
            <a:gd name="T1" fmla="*/ 0 h 132"/>
            <a:gd name="T2" fmla="*/ 2147483646 w 46"/>
            <a:gd name="T3" fmla="*/ 2147483646 h 132"/>
            <a:gd name="T4" fmla="*/ 2147483646 w 46"/>
            <a:gd name="T5" fmla="*/ 2147483646 h 132"/>
            <a:gd name="T6" fmla="*/ 0 60000 65536"/>
            <a:gd name="T7" fmla="*/ 0 60000 65536"/>
            <a:gd name="T8" fmla="*/ 0 60000 65536"/>
            <a:gd name="T9" fmla="*/ 0 w 46"/>
            <a:gd name="T10" fmla="*/ 0 h 132"/>
            <a:gd name="T11" fmla="*/ 46 w 46"/>
            <a:gd name="T12" fmla="*/ 132 h 13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6" h="132">
              <a:moveTo>
                <a:pt x="0" y="0"/>
              </a:moveTo>
              <a:lnTo>
                <a:pt x="13" y="52"/>
              </a:lnTo>
              <a:lnTo>
                <a:pt x="46" y="132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95250</xdr:colOff>
      <xdr:row>24</xdr:row>
      <xdr:rowOff>114300</xdr:rowOff>
    </xdr:from>
    <xdr:to>
      <xdr:col>17</xdr:col>
      <xdr:colOff>295275</xdr:colOff>
      <xdr:row>26</xdr:row>
      <xdr:rowOff>133350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CCADF9E7-41E1-45DA-96BA-FFF002693967}"/>
            </a:ext>
          </a:extLst>
        </xdr:cNvPr>
        <xdr:cNvSpPr>
          <a:spLocks noChangeArrowheads="1"/>
        </xdr:cNvSpPr>
      </xdr:nvSpPr>
      <xdr:spPr bwMode="auto">
        <a:xfrm>
          <a:off x="7080250" y="4089400"/>
          <a:ext cx="200025" cy="349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152400</xdr:colOff>
      <xdr:row>24</xdr:row>
      <xdr:rowOff>114300</xdr:rowOff>
    </xdr:from>
    <xdr:to>
      <xdr:col>19</xdr:col>
      <xdr:colOff>361950</xdr:colOff>
      <xdr:row>26</xdr:row>
      <xdr:rowOff>142875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66E0F2AA-C47A-45F4-972E-5BFC30C84CDC}"/>
            </a:ext>
          </a:extLst>
        </xdr:cNvPr>
        <xdr:cNvSpPr>
          <a:spLocks noChangeArrowheads="1"/>
        </xdr:cNvSpPr>
      </xdr:nvSpPr>
      <xdr:spPr bwMode="auto">
        <a:xfrm>
          <a:off x="7848600" y="4089400"/>
          <a:ext cx="209550" cy="358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209550</xdr:colOff>
      <xdr:row>27</xdr:row>
      <xdr:rowOff>9525</xdr:rowOff>
    </xdr:from>
    <xdr:to>
      <xdr:col>12</xdr:col>
      <xdr:colOff>400050</xdr:colOff>
      <xdr:row>27</xdr:row>
      <xdr:rowOff>57150</xdr:rowOff>
    </xdr:to>
    <xdr:sp macro="" textlink="">
      <xdr:nvSpPr>
        <xdr:cNvPr id="7" name="Freeform 13">
          <a:extLst>
            <a:ext uri="{FF2B5EF4-FFF2-40B4-BE49-F238E27FC236}">
              <a16:creationId xmlns:a16="http://schemas.microsoft.com/office/drawing/2014/main" id="{BDE5208A-A5DD-439B-AE72-53522BB3D540}"/>
            </a:ext>
          </a:extLst>
        </xdr:cNvPr>
        <xdr:cNvSpPr>
          <a:spLocks/>
        </xdr:cNvSpPr>
      </xdr:nvSpPr>
      <xdr:spPr bwMode="auto">
        <a:xfrm>
          <a:off x="3638550" y="4479925"/>
          <a:ext cx="1924050" cy="47625"/>
        </a:xfrm>
        <a:custGeom>
          <a:avLst/>
          <a:gdLst>
            <a:gd name="T0" fmla="*/ 2147483646 w 326"/>
            <a:gd name="T1" fmla="*/ 0 h 5"/>
            <a:gd name="T2" fmla="*/ 2147483646 w 326"/>
            <a:gd name="T3" fmla="*/ 2147483646 h 5"/>
            <a:gd name="T4" fmla="*/ 0 w 326"/>
            <a:gd name="T5" fmla="*/ 2147483646 h 5"/>
            <a:gd name="T6" fmla="*/ 0 60000 65536"/>
            <a:gd name="T7" fmla="*/ 0 60000 65536"/>
            <a:gd name="T8" fmla="*/ 0 60000 65536"/>
            <a:gd name="T9" fmla="*/ 0 w 326"/>
            <a:gd name="T10" fmla="*/ 0 h 5"/>
            <a:gd name="T11" fmla="*/ 6 w 326"/>
            <a:gd name="T12" fmla="*/ 56 h 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26" h="5">
              <a:moveTo>
                <a:pt x="326" y="0"/>
              </a:moveTo>
              <a:cubicBezTo>
                <a:pt x="286" y="1"/>
                <a:pt x="141" y="3"/>
                <a:pt x="87" y="4"/>
              </a:cubicBezTo>
              <a:cubicBezTo>
                <a:pt x="33" y="5"/>
                <a:pt x="18" y="4"/>
                <a:pt x="0" y="4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381000</xdr:colOff>
      <xdr:row>26</xdr:row>
      <xdr:rowOff>152400</xdr:rowOff>
    </xdr:from>
    <xdr:to>
      <xdr:col>16</xdr:col>
      <xdr:colOff>419100</xdr:colOff>
      <xdr:row>33</xdr:row>
      <xdr:rowOff>47625</xdr:rowOff>
    </xdr:to>
    <xdr:sp macro="" textlink="">
      <xdr:nvSpPr>
        <xdr:cNvPr id="8" name="Freeform 14">
          <a:extLst>
            <a:ext uri="{FF2B5EF4-FFF2-40B4-BE49-F238E27FC236}">
              <a16:creationId xmlns:a16="http://schemas.microsoft.com/office/drawing/2014/main" id="{5715E840-A27B-4864-9699-C812F8FB1297}"/>
            </a:ext>
          </a:extLst>
        </xdr:cNvPr>
        <xdr:cNvSpPr>
          <a:spLocks/>
        </xdr:cNvSpPr>
      </xdr:nvSpPr>
      <xdr:spPr bwMode="auto">
        <a:xfrm>
          <a:off x="6273800" y="4457700"/>
          <a:ext cx="711200" cy="1095375"/>
        </a:xfrm>
        <a:custGeom>
          <a:avLst/>
          <a:gdLst>
            <a:gd name="T0" fmla="*/ 0 w 94"/>
            <a:gd name="T1" fmla="*/ 2147483646 h 120"/>
            <a:gd name="T2" fmla="*/ 2147483646 w 94"/>
            <a:gd name="T3" fmla="*/ 2147483646 h 120"/>
            <a:gd name="T4" fmla="*/ 2147483646 w 94"/>
            <a:gd name="T5" fmla="*/ 2147483646 h 120"/>
            <a:gd name="T6" fmla="*/ 2147483646 w 94"/>
            <a:gd name="T7" fmla="*/ 2147483646 h 120"/>
            <a:gd name="T8" fmla="*/ 2147483646 w 94"/>
            <a:gd name="T9" fmla="*/ 2147483646 h 1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4"/>
            <a:gd name="T16" fmla="*/ 0 h 120"/>
            <a:gd name="T17" fmla="*/ 142 w 94"/>
            <a:gd name="T18" fmla="*/ 25 h 1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4" h="120">
              <a:moveTo>
                <a:pt x="34" y="120"/>
              </a:moveTo>
              <a:cubicBezTo>
                <a:pt x="30" y="114"/>
                <a:pt x="17" y="101"/>
                <a:pt x="12" y="83"/>
              </a:cubicBezTo>
              <a:cubicBezTo>
                <a:pt x="7" y="65"/>
                <a:pt x="0" y="26"/>
                <a:pt x="4" y="13"/>
              </a:cubicBezTo>
              <a:cubicBezTo>
                <a:pt x="8" y="0"/>
                <a:pt x="23" y="4"/>
                <a:pt x="38" y="2"/>
              </a:cubicBezTo>
              <a:cubicBezTo>
                <a:pt x="53" y="0"/>
                <a:pt x="82" y="1"/>
                <a:pt x="94" y="1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127419</xdr:colOff>
      <xdr:row>10</xdr:row>
      <xdr:rowOff>95789</xdr:rowOff>
    </xdr:from>
    <xdr:to>
      <xdr:col>9</xdr:col>
      <xdr:colOff>0</xdr:colOff>
      <xdr:row>10</xdr:row>
      <xdr:rowOff>95789</xdr:rowOff>
    </xdr:to>
    <xdr:sp macro="" textlink="">
      <xdr:nvSpPr>
        <xdr:cNvPr id="9" name="Line 19">
          <a:extLst>
            <a:ext uri="{FF2B5EF4-FFF2-40B4-BE49-F238E27FC236}">
              <a16:creationId xmlns:a16="http://schemas.microsoft.com/office/drawing/2014/main" id="{0DCB2520-97BA-4000-AD82-22C03433A7F4}"/>
            </a:ext>
          </a:extLst>
        </xdr:cNvPr>
        <xdr:cNvSpPr>
          <a:spLocks noChangeShapeType="1"/>
        </xdr:cNvSpPr>
      </xdr:nvSpPr>
      <xdr:spPr bwMode="auto">
        <a:xfrm flipH="1">
          <a:off x="3556419" y="1746789"/>
          <a:ext cx="386931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</xdr:colOff>
      <xdr:row>10</xdr:row>
      <xdr:rowOff>95250</xdr:rowOff>
    </xdr:from>
    <xdr:to>
      <xdr:col>14</xdr:col>
      <xdr:colOff>295275</xdr:colOff>
      <xdr:row>10</xdr:row>
      <xdr:rowOff>104775</xdr:rowOff>
    </xdr:to>
    <xdr:sp macro="" textlink="">
      <xdr:nvSpPr>
        <xdr:cNvPr id="10" name="Line 20">
          <a:extLst>
            <a:ext uri="{FF2B5EF4-FFF2-40B4-BE49-F238E27FC236}">
              <a16:creationId xmlns:a16="http://schemas.microsoft.com/office/drawing/2014/main" id="{1BCCDC8F-3FA7-4540-8D6E-6D2B2E6A31B8}"/>
            </a:ext>
          </a:extLst>
        </xdr:cNvPr>
        <xdr:cNvSpPr>
          <a:spLocks noChangeShapeType="1"/>
        </xdr:cNvSpPr>
      </xdr:nvSpPr>
      <xdr:spPr bwMode="auto">
        <a:xfrm>
          <a:off x="5591175" y="1746250"/>
          <a:ext cx="622300" cy="9525"/>
        </a:xfrm>
        <a:custGeom>
          <a:avLst/>
          <a:gdLst>
            <a:gd name="T0" fmla="*/ 2147483646 w 69"/>
            <a:gd name="T1" fmla="*/ 2147483646 h 1"/>
            <a:gd name="T2" fmla="*/ 0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69" y="1"/>
              </a:moveTo>
              <a:lnTo>
                <a:pt x="0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209550</xdr:colOff>
      <xdr:row>10</xdr:row>
      <xdr:rowOff>95250</xdr:rowOff>
    </xdr:from>
    <xdr:to>
      <xdr:col>19</xdr:col>
      <xdr:colOff>533400</xdr:colOff>
      <xdr:row>10</xdr:row>
      <xdr:rowOff>95250</xdr:rowOff>
    </xdr:to>
    <xdr:sp macro="" textlink="">
      <xdr:nvSpPr>
        <xdr:cNvPr id="11" name="Line 21">
          <a:extLst>
            <a:ext uri="{FF2B5EF4-FFF2-40B4-BE49-F238E27FC236}">
              <a16:creationId xmlns:a16="http://schemas.microsoft.com/office/drawing/2014/main" id="{63CDAD78-6122-4E68-83D6-F0A8D193C671}"/>
            </a:ext>
          </a:extLst>
        </xdr:cNvPr>
        <xdr:cNvSpPr>
          <a:spLocks noChangeShapeType="1"/>
        </xdr:cNvSpPr>
      </xdr:nvSpPr>
      <xdr:spPr bwMode="auto">
        <a:xfrm flipH="1">
          <a:off x="7905750" y="1746250"/>
          <a:ext cx="32385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333375</xdr:colOff>
      <xdr:row>18</xdr:row>
      <xdr:rowOff>76200</xdr:rowOff>
    </xdr:from>
    <xdr:to>
      <xdr:col>19</xdr:col>
      <xdr:colOff>361950</xdr:colOff>
      <xdr:row>21</xdr:row>
      <xdr:rowOff>85725</xdr:rowOff>
    </xdr:to>
    <xdr:sp macro="" textlink="">
      <xdr:nvSpPr>
        <xdr:cNvPr id="12" name="AutoShape 28">
          <a:extLst>
            <a:ext uri="{FF2B5EF4-FFF2-40B4-BE49-F238E27FC236}">
              <a16:creationId xmlns:a16="http://schemas.microsoft.com/office/drawing/2014/main" id="{92EEF2D4-6418-4009-B20C-7488B6ACBCEC}"/>
            </a:ext>
          </a:extLst>
        </xdr:cNvPr>
        <xdr:cNvSpPr>
          <a:spLocks noChangeArrowheads="1"/>
        </xdr:cNvSpPr>
      </xdr:nvSpPr>
      <xdr:spPr bwMode="auto">
        <a:xfrm rot="5400000">
          <a:off x="7610475" y="3117850"/>
          <a:ext cx="511175" cy="384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114300</xdr:colOff>
      <xdr:row>9</xdr:row>
      <xdr:rowOff>85725</xdr:rowOff>
    </xdr:from>
    <xdr:to>
      <xdr:col>18</xdr:col>
      <xdr:colOff>323850</xdr:colOff>
      <xdr:row>17</xdr:row>
      <xdr:rowOff>47625</xdr:rowOff>
    </xdr:to>
    <xdr:sp macro="" textlink="">
      <xdr:nvSpPr>
        <xdr:cNvPr id="13" name="AutoShape 32">
          <a:extLst>
            <a:ext uri="{FF2B5EF4-FFF2-40B4-BE49-F238E27FC236}">
              <a16:creationId xmlns:a16="http://schemas.microsoft.com/office/drawing/2014/main" id="{A2498325-5069-498D-86D0-77C20098850B}"/>
            </a:ext>
          </a:extLst>
        </xdr:cNvPr>
        <xdr:cNvSpPr>
          <a:spLocks noChangeArrowheads="1"/>
        </xdr:cNvSpPr>
      </xdr:nvSpPr>
      <xdr:spPr bwMode="auto">
        <a:xfrm rot="-5527266">
          <a:off x="6915150" y="2111375"/>
          <a:ext cx="1289050" cy="209550"/>
        </a:xfrm>
        <a:prstGeom prst="curvedUpArrow">
          <a:avLst>
            <a:gd name="adj1" fmla="val 128182"/>
            <a:gd name="adj2" fmla="val 256364"/>
            <a:gd name="adj3" fmla="val 41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193738</xdr:colOff>
      <xdr:row>10</xdr:row>
      <xdr:rowOff>124366</xdr:rowOff>
    </xdr:from>
    <xdr:to>
      <xdr:col>5</xdr:col>
      <xdr:colOff>412813</xdr:colOff>
      <xdr:row>18</xdr:row>
      <xdr:rowOff>133891</xdr:rowOff>
    </xdr:to>
    <xdr:sp macro="" textlink="">
      <xdr:nvSpPr>
        <xdr:cNvPr id="14" name="AutoShape 33">
          <a:extLst>
            <a:ext uri="{FF2B5EF4-FFF2-40B4-BE49-F238E27FC236}">
              <a16:creationId xmlns:a16="http://schemas.microsoft.com/office/drawing/2014/main" id="{96448D9F-1492-49A0-BE62-540BF7F42BE1}"/>
            </a:ext>
          </a:extLst>
        </xdr:cNvPr>
        <xdr:cNvSpPr>
          <a:spLocks noChangeArrowheads="1"/>
        </xdr:cNvSpPr>
      </xdr:nvSpPr>
      <xdr:spPr bwMode="auto">
        <a:xfrm rot="5400000">
          <a:off x="1705038" y="2334166"/>
          <a:ext cx="1336675" cy="219075"/>
        </a:xfrm>
        <a:prstGeom prst="curvedUpArrow">
          <a:avLst>
            <a:gd name="adj1" fmla="val 86577"/>
            <a:gd name="adj2" fmla="val 253913"/>
            <a:gd name="adj3" fmla="val 7423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25</xdr:row>
      <xdr:rowOff>161925</xdr:rowOff>
    </xdr:from>
    <xdr:to>
      <xdr:col>1</xdr:col>
      <xdr:colOff>666750</xdr:colOff>
      <xdr:row>26</xdr:row>
      <xdr:rowOff>0</xdr:rowOff>
    </xdr:to>
    <xdr:sp macro="" textlink="">
      <xdr:nvSpPr>
        <xdr:cNvPr id="15" name="Line 34">
          <a:extLst>
            <a:ext uri="{FF2B5EF4-FFF2-40B4-BE49-F238E27FC236}">
              <a16:creationId xmlns:a16="http://schemas.microsoft.com/office/drawing/2014/main" id="{E1BB2DF6-2F93-488D-A1BF-D7C11A82B803}"/>
            </a:ext>
          </a:extLst>
        </xdr:cNvPr>
        <xdr:cNvSpPr>
          <a:spLocks noChangeShapeType="1"/>
        </xdr:cNvSpPr>
      </xdr:nvSpPr>
      <xdr:spPr bwMode="auto">
        <a:xfrm flipV="1">
          <a:off x="47625" y="4302125"/>
          <a:ext cx="9429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676275</xdr:colOff>
      <xdr:row>25</xdr:row>
      <xdr:rowOff>161925</xdr:rowOff>
    </xdr:from>
    <xdr:to>
      <xdr:col>8</xdr:col>
      <xdr:colOff>209550</xdr:colOff>
      <xdr:row>27</xdr:row>
      <xdr:rowOff>38100</xdr:rowOff>
    </xdr:to>
    <xdr:sp macro="" textlink="">
      <xdr:nvSpPr>
        <xdr:cNvPr id="16" name="Freeform 35">
          <a:extLst>
            <a:ext uri="{FF2B5EF4-FFF2-40B4-BE49-F238E27FC236}">
              <a16:creationId xmlns:a16="http://schemas.microsoft.com/office/drawing/2014/main" id="{1BC00245-3662-4019-88C4-A13936935E0F}"/>
            </a:ext>
          </a:extLst>
        </xdr:cNvPr>
        <xdr:cNvSpPr>
          <a:spLocks/>
        </xdr:cNvSpPr>
      </xdr:nvSpPr>
      <xdr:spPr bwMode="auto">
        <a:xfrm>
          <a:off x="987425" y="4302125"/>
          <a:ext cx="2651125" cy="206375"/>
        </a:xfrm>
        <a:custGeom>
          <a:avLst/>
          <a:gdLst>
            <a:gd name="T0" fmla="*/ 0 w 202"/>
            <a:gd name="T1" fmla="*/ 2147483646 h 23"/>
            <a:gd name="T2" fmla="*/ 2147483646 w 202"/>
            <a:gd name="T3" fmla="*/ 2147483646 h 23"/>
            <a:gd name="T4" fmla="*/ 2147483646 w 202"/>
            <a:gd name="T5" fmla="*/ 2147483646 h 23"/>
            <a:gd name="T6" fmla="*/ 2147483646 w 202"/>
            <a:gd name="T7" fmla="*/ 2147483646 h 23"/>
            <a:gd name="T8" fmla="*/ 0 60000 65536"/>
            <a:gd name="T9" fmla="*/ 0 60000 65536"/>
            <a:gd name="T10" fmla="*/ 0 60000 65536"/>
            <a:gd name="T11" fmla="*/ 0 60000 65536"/>
            <a:gd name="T12" fmla="*/ 0 w 202"/>
            <a:gd name="T13" fmla="*/ 0 h 23"/>
            <a:gd name="T14" fmla="*/ 118 w 202"/>
            <a:gd name="T15" fmla="*/ 42 h 2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02" h="23">
              <a:moveTo>
                <a:pt x="0" y="1"/>
              </a:moveTo>
              <a:cubicBezTo>
                <a:pt x="7" y="1"/>
                <a:pt x="23" y="0"/>
                <a:pt x="42" y="0"/>
              </a:cubicBezTo>
              <a:cubicBezTo>
                <a:pt x="61" y="0"/>
                <a:pt x="93" y="0"/>
                <a:pt x="112" y="1"/>
              </a:cubicBezTo>
              <a:cubicBezTo>
                <a:pt x="131" y="2"/>
                <a:pt x="139" y="1"/>
                <a:pt x="154" y="5"/>
              </a:cubicBezTo>
              <a:cubicBezTo>
                <a:pt x="169" y="9"/>
                <a:pt x="192" y="19"/>
                <a:pt x="202" y="23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47625</xdr:rowOff>
    </xdr:from>
    <xdr:to>
      <xdr:col>15</xdr:col>
      <xdr:colOff>314325</xdr:colOff>
      <xdr:row>1</xdr:row>
      <xdr:rowOff>0</xdr:rowOff>
    </xdr:to>
    <xdr:sp macro="" textlink="">
      <xdr:nvSpPr>
        <xdr:cNvPr id="17" name="Line 36">
          <a:extLst>
            <a:ext uri="{FF2B5EF4-FFF2-40B4-BE49-F238E27FC236}">
              <a16:creationId xmlns:a16="http://schemas.microsoft.com/office/drawing/2014/main" id="{A765F1BC-4558-4574-B961-5D603DFE65B1}"/>
            </a:ext>
          </a:extLst>
        </xdr:cNvPr>
        <xdr:cNvSpPr>
          <a:spLocks noChangeShapeType="1"/>
        </xdr:cNvSpPr>
      </xdr:nvSpPr>
      <xdr:spPr bwMode="auto">
        <a:xfrm>
          <a:off x="0" y="47625"/>
          <a:ext cx="6588125" cy="117475"/>
        </a:xfrm>
        <a:custGeom>
          <a:avLst/>
          <a:gdLst>
            <a:gd name="T0" fmla="*/ 0 w 721"/>
            <a:gd name="T1" fmla="*/ 2147483646 h 13"/>
            <a:gd name="T2" fmla="*/ 2147483646 w 721"/>
            <a:gd name="T3" fmla="*/ 0 h 13"/>
            <a:gd name="T4" fmla="*/ 0 60000 65536"/>
            <a:gd name="T5" fmla="*/ 0 60000 65536"/>
            <a:gd name="T6" fmla="*/ 0 w 721"/>
            <a:gd name="T7" fmla="*/ 0 h 13"/>
            <a:gd name="T8" fmla="*/ 721 w 721"/>
            <a:gd name="T9" fmla="*/ 13 h 1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21" h="13">
              <a:moveTo>
                <a:pt x="0" y="13"/>
              </a:moveTo>
              <a:lnTo>
                <a:pt x="721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85725</xdr:colOff>
      <xdr:row>28</xdr:row>
      <xdr:rowOff>28575</xdr:rowOff>
    </xdr:from>
    <xdr:to>
      <xdr:col>19</xdr:col>
      <xdr:colOff>495300</xdr:colOff>
      <xdr:row>29</xdr:row>
      <xdr:rowOff>142875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8A69ABB7-D79F-40CC-A517-F860C0B1C8E1}"/>
            </a:ext>
          </a:extLst>
        </xdr:cNvPr>
        <xdr:cNvSpPr txBox="1">
          <a:spLocks noChangeArrowheads="1"/>
        </xdr:cNvSpPr>
      </xdr:nvSpPr>
      <xdr:spPr bwMode="auto">
        <a:xfrm>
          <a:off x="7070725" y="4664075"/>
          <a:ext cx="1120775" cy="323850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艇庫</a:t>
          </a:r>
        </a:p>
      </xdr:txBody>
    </xdr:sp>
    <xdr:clientData/>
  </xdr:twoCellAnchor>
  <xdr:twoCellAnchor>
    <xdr:from>
      <xdr:col>0</xdr:col>
      <xdr:colOff>152400</xdr:colOff>
      <xdr:row>13</xdr:row>
      <xdr:rowOff>114300</xdr:rowOff>
    </xdr:from>
    <xdr:to>
      <xdr:col>0</xdr:col>
      <xdr:colOff>361950</xdr:colOff>
      <xdr:row>21</xdr:row>
      <xdr:rowOff>38100</xdr:rowOff>
    </xdr:to>
    <xdr:sp macro="" textlink="">
      <xdr:nvSpPr>
        <xdr:cNvPr id="19" name="Text Box 42">
          <a:extLst>
            <a:ext uri="{FF2B5EF4-FFF2-40B4-BE49-F238E27FC236}">
              <a16:creationId xmlns:a16="http://schemas.microsoft.com/office/drawing/2014/main" id="{580A9A5A-8C53-4FE3-ABBF-280CB976ECED}"/>
            </a:ext>
          </a:extLst>
        </xdr:cNvPr>
        <xdr:cNvSpPr txBox="1">
          <a:spLocks noChangeArrowheads="1"/>
        </xdr:cNvSpPr>
      </xdr:nvSpPr>
      <xdr:spPr bwMode="auto">
        <a:xfrm>
          <a:off x="152400" y="2266950"/>
          <a:ext cx="209550" cy="1250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進入禁止</a:t>
          </a:r>
        </a:p>
      </xdr:txBody>
    </xdr:sp>
    <xdr:clientData/>
  </xdr:twoCellAnchor>
  <xdr:twoCellAnchor>
    <xdr:from>
      <xdr:col>11</xdr:col>
      <xdr:colOff>174503</xdr:colOff>
      <xdr:row>14</xdr:row>
      <xdr:rowOff>95250</xdr:rowOff>
    </xdr:from>
    <xdr:to>
      <xdr:col>12</xdr:col>
      <xdr:colOff>352781</xdr:colOff>
      <xdr:row>14</xdr:row>
      <xdr:rowOff>104775</xdr:rowOff>
    </xdr:to>
    <xdr:sp macro="" textlink="">
      <xdr:nvSpPr>
        <xdr:cNvPr id="20" name="Line 22">
          <a:extLst>
            <a:ext uri="{FF2B5EF4-FFF2-40B4-BE49-F238E27FC236}">
              <a16:creationId xmlns:a16="http://schemas.microsoft.com/office/drawing/2014/main" id="{89FEE988-98EB-4F4A-A0FC-E61471B88D38}"/>
            </a:ext>
          </a:extLst>
        </xdr:cNvPr>
        <xdr:cNvSpPr>
          <a:spLocks noChangeShapeType="1"/>
        </xdr:cNvSpPr>
      </xdr:nvSpPr>
      <xdr:spPr bwMode="auto">
        <a:xfrm>
          <a:off x="5025903" y="2413000"/>
          <a:ext cx="533878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104775</xdr:colOff>
      <xdr:row>24</xdr:row>
      <xdr:rowOff>104775</xdr:rowOff>
    </xdr:from>
    <xdr:to>
      <xdr:col>18</xdr:col>
      <xdr:colOff>314325</xdr:colOff>
      <xdr:row>26</xdr:row>
      <xdr:rowOff>133350</xdr:rowOff>
    </xdr:to>
    <xdr:sp macro="" textlink="">
      <xdr:nvSpPr>
        <xdr:cNvPr id="21" name="Rectangle 9">
          <a:extLst>
            <a:ext uri="{FF2B5EF4-FFF2-40B4-BE49-F238E27FC236}">
              <a16:creationId xmlns:a16="http://schemas.microsoft.com/office/drawing/2014/main" id="{BF20B7D3-774A-456B-82BE-AA519E3B3F0D}"/>
            </a:ext>
          </a:extLst>
        </xdr:cNvPr>
        <xdr:cNvSpPr>
          <a:spLocks noChangeArrowheads="1"/>
        </xdr:cNvSpPr>
      </xdr:nvSpPr>
      <xdr:spPr bwMode="auto">
        <a:xfrm>
          <a:off x="7445375" y="4079875"/>
          <a:ext cx="209550" cy="358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504825</xdr:colOff>
      <xdr:row>21</xdr:row>
      <xdr:rowOff>38100</xdr:rowOff>
    </xdr:from>
    <xdr:to>
      <xdr:col>20</xdr:col>
      <xdr:colOff>209550</xdr:colOff>
      <xdr:row>23</xdr:row>
      <xdr:rowOff>95250</xdr:rowOff>
    </xdr:to>
    <xdr:sp macro="" textlink="">
      <xdr:nvSpPr>
        <xdr:cNvPr id="22" name="AutoShape 31">
          <a:extLst>
            <a:ext uri="{FF2B5EF4-FFF2-40B4-BE49-F238E27FC236}">
              <a16:creationId xmlns:a16="http://schemas.microsoft.com/office/drawing/2014/main" id="{43E4C5BB-1BC3-42F8-9449-791F57621D5F}"/>
            </a:ext>
          </a:extLst>
        </xdr:cNvPr>
        <xdr:cNvSpPr>
          <a:spLocks noChangeArrowheads="1"/>
        </xdr:cNvSpPr>
      </xdr:nvSpPr>
      <xdr:spPr bwMode="auto">
        <a:xfrm>
          <a:off x="8201025" y="3517900"/>
          <a:ext cx="307975" cy="3873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114300</xdr:rowOff>
    </xdr:from>
    <xdr:to>
      <xdr:col>3</xdr:col>
      <xdr:colOff>180975</xdr:colOff>
      <xdr:row>8</xdr:row>
      <xdr:rowOff>114300</xdr:rowOff>
    </xdr:to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A9068AA5-3ED2-4D5B-A5FE-B366609A60CC}"/>
            </a:ext>
          </a:extLst>
        </xdr:cNvPr>
        <xdr:cNvSpPr>
          <a:spLocks noChangeArrowheads="1"/>
        </xdr:cNvSpPr>
      </xdr:nvSpPr>
      <xdr:spPr bwMode="auto">
        <a:xfrm>
          <a:off x="990600" y="1104900"/>
          <a:ext cx="606425" cy="330200"/>
        </a:xfrm>
        <a:prstGeom prst="wedgeEllipseCallout">
          <a:avLst>
            <a:gd name="adj1" fmla="val -44116"/>
            <a:gd name="adj2" fmla="val 944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赤ブイ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0</xdr:colOff>
      <xdr:row>6</xdr:row>
      <xdr:rowOff>123825</xdr:rowOff>
    </xdr:from>
    <xdr:to>
      <xdr:col>10</xdr:col>
      <xdr:colOff>95250</xdr:colOff>
      <xdr:row>8</xdr:row>
      <xdr:rowOff>123825</xdr:rowOff>
    </xdr:to>
    <xdr:sp macro="" textlink="">
      <xdr:nvSpPr>
        <xdr:cNvPr id="24" name="AutoShape 34">
          <a:extLst>
            <a:ext uri="{FF2B5EF4-FFF2-40B4-BE49-F238E27FC236}">
              <a16:creationId xmlns:a16="http://schemas.microsoft.com/office/drawing/2014/main" id="{80EE96F5-BCEF-41E4-A624-F7975AFE6E12}"/>
            </a:ext>
          </a:extLst>
        </xdr:cNvPr>
        <xdr:cNvSpPr>
          <a:spLocks noChangeArrowheads="1"/>
        </xdr:cNvSpPr>
      </xdr:nvSpPr>
      <xdr:spPr bwMode="auto">
        <a:xfrm>
          <a:off x="3943350" y="1114425"/>
          <a:ext cx="609600" cy="330200"/>
        </a:xfrm>
        <a:prstGeom prst="wedgeEllipseCallout">
          <a:avLst>
            <a:gd name="adj1" fmla="val -45889"/>
            <a:gd name="adj2" fmla="val 8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赤ブイ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95250</xdr:colOff>
      <xdr:row>6</xdr:row>
      <xdr:rowOff>95250</xdr:rowOff>
    </xdr:from>
    <xdr:to>
      <xdr:col>13</xdr:col>
      <xdr:colOff>352425</xdr:colOff>
      <xdr:row>8</xdr:row>
      <xdr:rowOff>76200</xdr:rowOff>
    </xdr:to>
    <xdr:sp macro="" textlink="">
      <xdr:nvSpPr>
        <xdr:cNvPr id="25" name="AutoShape 35">
          <a:extLst>
            <a:ext uri="{FF2B5EF4-FFF2-40B4-BE49-F238E27FC236}">
              <a16:creationId xmlns:a16="http://schemas.microsoft.com/office/drawing/2014/main" id="{8BE46F79-B897-4B05-B0FD-47547CFA11D8}"/>
            </a:ext>
          </a:extLst>
        </xdr:cNvPr>
        <xdr:cNvSpPr>
          <a:spLocks noChangeArrowheads="1"/>
        </xdr:cNvSpPr>
      </xdr:nvSpPr>
      <xdr:spPr bwMode="auto">
        <a:xfrm>
          <a:off x="5302250" y="1085850"/>
          <a:ext cx="612775" cy="311150"/>
        </a:xfrm>
        <a:prstGeom prst="wedgeEllipseCallout">
          <a:avLst>
            <a:gd name="adj1" fmla="val -50000"/>
            <a:gd name="adj2" fmla="val 9411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赤ブイ</a:t>
          </a:r>
        </a:p>
      </xdr:txBody>
    </xdr:sp>
    <xdr:clientData/>
  </xdr:twoCellAnchor>
  <xdr:twoCellAnchor>
    <xdr:from>
      <xdr:col>7</xdr:col>
      <xdr:colOff>62901</xdr:colOff>
      <xdr:row>10</xdr:row>
      <xdr:rowOff>60383</xdr:rowOff>
    </xdr:from>
    <xdr:to>
      <xdr:col>7</xdr:col>
      <xdr:colOff>512194</xdr:colOff>
      <xdr:row>10</xdr:row>
      <xdr:rowOff>106102</xdr:rowOff>
    </xdr:to>
    <xdr:sp macro="" textlink="">
      <xdr:nvSpPr>
        <xdr:cNvPr id="26" name="Line 21">
          <a:extLst>
            <a:ext uri="{FF2B5EF4-FFF2-40B4-BE49-F238E27FC236}">
              <a16:creationId xmlns:a16="http://schemas.microsoft.com/office/drawing/2014/main" id="{6C6D4846-6DE8-4731-930C-54ABE201DA89}"/>
            </a:ext>
          </a:extLst>
        </xdr:cNvPr>
        <xdr:cNvSpPr>
          <a:spLocks noChangeShapeType="1"/>
        </xdr:cNvSpPr>
      </xdr:nvSpPr>
      <xdr:spPr bwMode="auto">
        <a:xfrm flipV="1">
          <a:off x="2787051" y="1711383"/>
          <a:ext cx="449293" cy="45719"/>
        </a:xfrm>
        <a:custGeom>
          <a:avLst/>
          <a:gdLst>
            <a:gd name="T0" fmla="*/ 2147483646 w 53"/>
            <a:gd name="T1" fmla="*/ 0 h 1"/>
            <a:gd name="T2" fmla="*/ 0 w 53"/>
            <a:gd name="T3" fmla="*/ 0 h 1"/>
            <a:gd name="T4" fmla="*/ 0 60000 65536"/>
            <a:gd name="T5" fmla="*/ 0 60000 65536"/>
            <a:gd name="T6" fmla="*/ 0 w 53"/>
            <a:gd name="T7" fmla="*/ 0 h 1"/>
            <a:gd name="T8" fmla="*/ 53 w 5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53" h="1">
              <a:moveTo>
                <a:pt x="53" y="0"/>
              </a:moveTo>
              <a:lnTo>
                <a:pt x="0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228600</xdr:colOff>
      <xdr:row>2</xdr:row>
      <xdr:rowOff>133350</xdr:rowOff>
    </xdr:from>
    <xdr:to>
      <xdr:col>13</xdr:col>
      <xdr:colOff>161925</xdr:colOff>
      <xdr:row>5</xdr:row>
      <xdr:rowOff>123825</xdr:rowOff>
    </xdr:to>
    <xdr:sp macro="" textlink="">
      <xdr:nvSpPr>
        <xdr:cNvPr id="27" name="AutoShape 39">
          <a:extLst>
            <a:ext uri="{FF2B5EF4-FFF2-40B4-BE49-F238E27FC236}">
              <a16:creationId xmlns:a16="http://schemas.microsoft.com/office/drawing/2014/main" id="{960BF9DE-3719-433D-8175-DB7856D81091}"/>
            </a:ext>
          </a:extLst>
        </xdr:cNvPr>
        <xdr:cNvSpPr>
          <a:spLocks noChangeArrowheads="1"/>
        </xdr:cNvSpPr>
      </xdr:nvSpPr>
      <xdr:spPr bwMode="auto">
        <a:xfrm>
          <a:off x="4686300" y="463550"/>
          <a:ext cx="1038225" cy="485775"/>
        </a:xfrm>
        <a:prstGeom prst="wedgeRectCallout">
          <a:avLst>
            <a:gd name="adj1" fmla="val -60000"/>
            <a:gd name="adj2" fmla="val 9717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赤ブイより外側へ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出ないこと</a:t>
          </a:r>
        </a:p>
      </xdr:txBody>
    </xdr:sp>
    <xdr:clientData/>
  </xdr:twoCellAnchor>
  <xdr:twoCellAnchor>
    <xdr:from>
      <xdr:col>20</xdr:col>
      <xdr:colOff>190321</xdr:colOff>
      <xdr:row>11</xdr:row>
      <xdr:rowOff>32350</xdr:rowOff>
    </xdr:from>
    <xdr:to>
      <xdr:col>20</xdr:col>
      <xdr:colOff>418921</xdr:colOff>
      <xdr:row>13</xdr:row>
      <xdr:rowOff>89499</xdr:rowOff>
    </xdr:to>
    <xdr:sp macro="" textlink="">
      <xdr:nvSpPr>
        <xdr:cNvPr id="28" name="AutoShape 40">
          <a:extLst>
            <a:ext uri="{FF2B5EF4-FFF2-40B4-BE49-F238E27FC236}">
              <a16:creationId xmlns:a16="http://schemas.microsoft.com/office/drawing/2014/main" id="{8CE82983-9D2F-4C83-B9D4-1DE9D5C2E3D1}"/>
            </a:ext>
          </a:extLst>
        </xdr:cNvPr>
        <xdr:cNvSpPr>
          <a:spLocks noChangeArrowheads="1"/>
        </xdr:cNvSpPr>
      </xdr:nvSpPr>
      <xdr:spPr bwMode="auto">
        <a:xfrm>
          <a:off x="8489771" y="1848450"/>
          <a:ext cx="228600" cy="393699"/>
        </a:xfrm>
        <a:prstGeom prst="upArrow">
          <a:avLst>
            <a:gd name="adj1" fmla="val 50000"/>
            <a:gd name="adj2" fmla="val 4479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361950</xdr:colOff>
      <xdr:row>7</xdr:row>
      <xdr:rowOff>9525</xdr:rowOff>
    </xdr:from>
    <xdr:to>
      <xdr:col>19</xdr:col>
      <xdr:colOff>619125</xdr:colOff>
      <xdr:row>8</xdr:row>
      <xdr:rowOff>133350</xdr:rowOff>
    </xdr:to>
    <xdr:sp macro="" textlink="">
      <xdr:nvSpPr>
        <xdr:cNvPr id="29" name="AutoShape 41">
          <a:extLst>
            <a:ext uri="{FF2B5EF4-FFF2-40B4-BE49-F238E27FC236}">
              <a16:creationId xmlns:a16="http://schemas.microsoft.com/office/drawing/2014/main" id="{1E763528-E712-4B5C-ADC5-D6CBA512704F}"/>
            </a:ext>
          </a:extLst>
        </xdr:cNvPr>
        <xdr:cNvSpPr>
          <a:spLocks noChangeArrowheads="1"/>
        </xdr:cNvSpPr>
      </xdr:nvSpPr>
      <xdr:spPr bwMode="auto">
        <a:xfrm>
          <a:off x="7696200" y="1165225"/>
          <a:ext cx="600075" cy="288925"/>
        </a:xfrm>
        <a:prstGeom prst="wedgeEllipseCallout">
          <a:avLst>
            <a:gd name="adj1" fmla="val -42648"/>
            <a:gd name="adj2" fmla="val 8870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赤ブイ</a:t>
          </a:r>
        </a:p>
      </xdr:txBody>
    </xdr:sp>
    <xdr:clientData/>
  </xdr:twoCellAnchor>
  <xdr:twoCellAnchor>
    <xdr:from>
      <xdr:col>4</xdr:col>
      <xdr:colOff>61463</xdr:colOff>
      <xdr:row>18</xdr:row>
      <xdr:rowOff>98845</xdr:rowOff>
    </xdr:from>
    <xdr:to>
      <xdr:col>6</xdr:col>
      <xdr:colOff>9884</xdr:colOff>
      <xdr:row>22</xdr:row>
      <xdr:rowOff>152758</xdr:rowOff>
    </xdr:to>
    <xdr:sp macro="" textlink="">
      <xdr:nvSpPr>
        <xdr:cNvPr id="30" name="AutoShape 42">
          <a:extLst>
            <a:ext uri="{FF2B5EF4-FFF2-40B4-BE49-F238E27FC236}">
              <a16:creationId xmlns:a16="http://schemas.microsoft.com/office/drawing/2014/main" id="{9F188FB5-C388-47FD-9F4D-9DC25B239465}"/>
            </a:ext>
          </a:extLst>
        </xdr:cNvPr>
        <xdr:cNvSpPr>
          <a:spLocks noChangeArrowheads="1"/>
        </xdr:cNvSpPr>
      </xdr:nvSpPr>
      <xdr:spPr bwMode="auto">
        <a:xfrm>
          <a:off x="1902963" y="3076995"/>
          <a:ext cx="602471" cy="720663"/>
        </a:xfrm>
        <a:prstGeom prst="wedgeRoundRectCallout">
          <a:avLst>
            <a:gd name="adj1" fmla="val 68805"/>
            <a:gd name="adj2" fmla="val -74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この辺り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では艇を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長く止めて</a:t>
          </a:r>
        </a:p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いないこと</a:t>
          </a: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647700</xdr:colOff>
      <xdr:row>23</xdr:row>
      <xdr:rowOff>38100</xdr:rowOff>
    </xdr:from>
    <xdr:to>
      <xdr:col>20</xdr:col>
      <xdr:colOff>485775</xdr:colOff>
      <xdr:row>25</xdr:row>
      <xdr:rowOff>85725</xdr:rowOff>
    </xdr:to>
    <xdr:sp macro="" textlink="">
      <xdr:nvSpPr>
        <xdr:cNvPr id="31" name="Freeform 44">
          <a:extLst>
            <a:ext uri="{FF2B5EF4-FFF2-40B4-BE49-F238E27FC236}">
              <a16:creationId xmlns:a16="http://schemas.microsoft.com/office/drawing/2014/main" id="{2D9C0F25-D453-4237-93D0-3EEB7A032E1E}"/>
            </a:ext>
          </a:extLst>
        </xdr:cNvPr>
        <xdr:cNvSpPr>
          <a:spLocks/>
        </xdr:cNvSpPr>
      </xdr:nvSpPr>
      <xdr:spPr bwMode="auto">
        <a:xfrm>
          <a:off x="8299450" y="3848100"/>
          <a:ext cx="485775" cy="377825"/>
        </a:xfrm>
        <a:custGeom>
          <a:avLst/>
          <a:gdLst>
            <a:gd name="T0" fmla="*/ 2147483646 w 52"/>
            <a:gd name="T1" fmla="*/ 2147483646 h 41"/>
            <a:gd name="T2" fmla="*/ 0 w 52"/>
            <a:gd name="T3" fmla="*/ 2147483646 h 41"/>
            <a:gd name="T4" fmla="*/ 2147483646 w 52"/>
            <a:gd name="T5" fmla="*/ 0 h 41"/>
            <a:gd name="T6" fmla="*/ 2147483646 w 52"/>
            <a:gd name="T7" fmla="*/ 2147483646 h 41"/>
            <a:gd name="T8" fmla="*/ 0 60000 65536"/>
            <a:gd name="T9" fmla="*/ 0 60000 65536"/>
            <a:gd name="T10" fmla="*/ 0 60000 65536"/>
            <a:gd name="T11" fmla="*/ 0 60000 65536"/>
            <a:gd name="T12" fmla="*/ 0 w 52"/>
            <a:gd name="T13" fmla="*/ 0 h 41"/>
            <a:gd name="T14" fmla="*/ 52 w 52"/>
            <a:gd name="T15" fmla="*/ 41 h 4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2" h="41">
              <a:moveTo>
                <a:pt x="13" y="41"/>
              </a:moveTo>
              <a:lnTo>
                <a:pt x="0" y="27"/>
              </a:lnTo>
              <a:lnTo>
                <a:pt x="40" y="0"/>
              </a:lnTo>
              <a:lnTo>
                <a:pt x="52" y="1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304800</xdr:colOff>
      <xdr:row>24</xdr:row>
      <xdr:rowOff>28575</xdr:rowOff>
    </xdr:from>
    <xdr:to>
      <xdr:col>20</xdr:col>
      <xdr:colOff>590550</xdr:colOff>
      <xdr:row>25</xdr:row>
      <xdr:rowOff>85725</xdr:rowOff>
    </xdr:to>
    <xdr:sp macro="" textlink="">
      <xdr:nvSpPr>
        <xdr:cNvPr id="32" name="Line 45">
          <a:extLst>
            <a:ext uri="{FF2B5EF4-FFF2-40B4-BE49-F238E27FC236}">
              <a16:creationId xmlns:a16="http://schemas.microsoft.com/office/drawing/2014/main" id="{615E651C-28E1-4CE0-B14A-DD417304D32F}"/>
            </a:ext>
          </a:extLst>
        </xdr:cNvPr>
        <xdr:cNvSpPr>
          <a:spLocks noChangeShapeType="1"/>
        </xdr:cNvSpPr>
      </xdr:nvSpPr>
      <xdr:spPr bwMode="auto">
        <a:xfrm flipH="1" flipV="1">
          <a:off x="8604250" y="4003675"/>
          <a:ext cx="285750" cy="222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57689</xdr:colOff>
      <xdr:row>14</xdr:row>
      <xdr:rowOff>49531</xdr:rowOff>
    </xdr:from>
    <xdr:to>
      <xdr:col>9</xdr:col>
      <xdr:colOff>260590</xdr:colOff>
      <xdr:row>14</xdr:row>
      <xdr:rowOff>95250</xdr:rowOff>
    </xdr:to>
    <xdr:sp macro="" textlink="">
      <xdr:nvSpPr>
        <xdr:cNvPr id="33" name="Line 22">
          <a:extLst>
            <a:ext uri="{FF2B5EF4-FFF2-40B4-BE49-F238E27FC236}">
              <a16:creationId xmlns:a16="http://schemas.microsoft.com/office/drawing/2014/main" id="{FF8E4214-EC0A-40F0-9D03-444108F96E85}"/>
            </a:ext>
          </a:extLst>
        </xdr:cNvPr>
        <xdr:cNvSpPr>
          <a:spLocks noChangeShapeType="1"/>
        </xdr:cNvSpPr>
      </xdr:nvSpPr>
      <xdr:spPr bwMode="auto">
        <a:xfrm flipV="1">
          <a:off x="3486689" y="2367281"/>
          <a:ext cx="717251" cy="45719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57689</xdr:colOff>
      <xdr:row>15</xdr:row>
      <xdr:rowOff>49531</xdr:rowOff>
    </xdr:from>
    <xdr:to>
      <xdr:col>9</xdr:col>
      <xdr:colOff>260590</xdr:colOff>
      <xdr:row>15</xdr:row>
      <xdr:rowOff>95250</xdr:rowOff>
    </xdr:to>
    <xdr:sp macro="" textlink="">
      <xdr:nvSpPr>
        <xdr:cNvPr id="34" name="Line 22">
          <a:extLst>
            <a:ext uri="{FF2B5EF4-FFF2-40B4-BE49-F238E27FC236}">
              <a16:creationId xmlns:a16="http://schemas.microsoft.com/office/drawing/2014/main" id="{BBD681B4-83F8-4065-BA7B-08F2C8FD5663}"/>
            </a:ext>
          </a:extLst>
        </xdr:cNvPr>
        <xdr:cNvSpPr>
          <a:spLocks noChangeShapeType="1"/>
        </xdr:cNvSpPr>
      </xdr:nvSpPr>
      <xdr:spPr bwMode="auto">
        <a:xfrm flipV="1">
          <a:off x="3486689" y="2532381"/>
          <a:ext cx="717251" cy="45719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57689</xdr:colOff>
      <xdr:row>16</xdr:row>
      <xdr:rowOff>49531</xdr:rowOff>
    </xdr:from>
    <xdr:to>
      <xdr:col>9</xdr:col>
      <xdr:colOff>260590</xdr:colOff>
      <xdr:row>16</xdr:row>
      <xdr:rowOff>95250</xdr:rowOff>
    </xdr:to>
    <xdr:sp macro="" textlink="">
      <xdr:nvSpPr>
        <xdr:cNvPr id="35" name="Line 22">
          <a:extLst>
            <a:ext uri="{FF2B5EF4-FFF2-40B4-BE49-F238E27FC236}">
              <a16:creationId xmlns:a16="http://schemas.microsoft.com/office/drawing/2014/main" id="{196A3EEA-8B44-4BEE-92F8-A5E6B7E027C9}"/>
            </a:ext>
          </a:extLst>
        </xdr:cNvPr>
        <xdr:cNvSpPr>
          <a:spLocks noChangeShapeType="1"/>
        </xdr:cNvSpPr>
      </xdr:nvSpPr>
      <xdr:spPr bwMode="auto">
        <a:xfrm flipV="1">
          <a:off x="3486689" y="2697481"/>
          <a:ext cx="717251" cy="45719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57689</xdr:colOff>
      <xdr:row>17</xdr:row>
      <xdr:rowOff>49531</xdr:rowOff>
    </xdr:from>
    <xdr:to>
      <xdr:col>9</xdr:col>
      <xdr:colOff>260590</xdr:colOff>
      <xdr:row>17</xdr:row>
      <xdr:rowOff>95250</xdr:rowOff>
    </xdr:to>
    <xdr:sp macro="" textlink="">
      <xdr:nvSpPr>
        <xdr:cNvPr id="36" name="Line 22">
          <a:extLst>
            <a:ext uri="{FF2B5EF4-FFF2-40B4-BE49-F238E27FC236}">
              <a16:creationId xmlns:a16="http://schemas.microsoft.com/office/drawing/2014/main" id="{98539773-9360-4935-8A53-342FB2C68442}"/>
            </a:ext>
          </a:extLst>
        </xdr:cNvPr>
        <xdr:cNvSpPr>
          <a:spLocks noChangeShapeType="1"/>
        </xdr:cNvSpPr>
      </xdr:nvSpPr>
      <xdr:spPr bwMode="auto">
        <a:xfrm flipV="1">
          <a:off x="3486689" y="2862581"/>
          <a:ext cx="717251" cy="45719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57689</xdr:colOff>
      <xdr:row>18</xdr:row>
      <xdr:rowOff>49531</xdr:rowOff>
    </xdr:from>
    <xdr:to>
      <xdr:col>9</xdr:col>
      <xdr:colOff>260590</xdr:colOff>
      <xdr:row>18</xdr:row>
      <xdr:rowOff>95250</xdr:rowOff>
    </xdr:to>
    <xdr:sp macro="" textlink="">
      <xdr:nvSpPr>
        <xdr:cNvPr id="37" name="Line 22">
          <a:extLst>
            <a:ext uri="{FF2B5EF4-FFF2-40B4-BE49-F238E27FC236}">
              <a16:creationId xmlns:a16="http://schemas.microsoft.com/office/drawing/2014/main" id="{0FF55905-2EE9-426D-AFB1-2CBE0F9184D7}"/>
            </a:ext>
          </a:extLst>
        </xdr:cNvPr>
        <xdr:cNvSpPr>
          <a:spLocks noChangeShapeType="1"/>
        </xdr:cNvSpPr>
      </xdr:nvSpPr>
      <xdr:spPr bwMode="auto">
        <a:xfrm flipV="1">
          <a:off x="3486689" y="3027681"/>
          <a:ext cx="717251" cy="45719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57689</xdr:colOff>
      <xdr:row>19</xdr:row>
      <xdr:rowOff>49531</xdr:rowOff>
    </xdr:from>
    <xdr:to>
      <xdr:col>9</xdr:col>
      <xdr:colOff>260590</xdr:colOff>
      <xdr:row>19</xdr:row>
      <xdr:rowOff>95250</xdr:rowOff>
    </xdr:to>
    <xdr:sp macro="" textlink="">
      <xdr:nvSpPr>
        <xdr:cNvPr id="38" name="Line 22">
          <a:extLst>
            <a:ext uri="{FF2B5EF4-FFF2-40B4-BE49-F238E27FC236}">
              <a16:creationId xmlns:a16="http://schemas.microsoft.com/office/drawing/2014/main" id="{780C8F9A-563B-4901-8DC5-F6F34D693706}"/>
            </a:ext>
          </a:extLst>
        </xdr:cNvPr>
        <xdr:cNvSpPr>
          <a:spLocks noChangeShapeType="1"/>
        </xdr:cNvSpPr>
      </xdr:nvSpPr>
      <xdr:spPr bwMode="auto">
        <a:xfrm flipV="1">
          <a:off x="3486689" y="3192781"/>
          <a:ext cx="717251" cy="45719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174503</xdr:colOff>
      <xdr:row>15</xdr:row>
      <xdr:rowOff>95250</xdr:rowOff>
    </xdr:from>
    <xdr:to>
      <xdr:col>12</xdr:col>
      <xdr:colOff>352781</xdr:colOff>
      <xdr:row>15</xdr:row>
      <xdr:rowOff>104775</xdr:rowOff>
    </xdr:to>
    <xdr:sp macro="" textlink="">
      <xdr:nvSpPr>
        <xdr:cNvPr id="39" name="Line 22">
          <a:extLst>
            <a:ext uri="{FF2B5EF4-FFF2-40B4-BE49-F238E27FC236}">
              <a16:creationId xmlns:a16="http://schemas.microsoft.com/office/drawing/2014/main" id="{89A7E870-F73B-46DC-BBAC-B2FB4C9BA34E}"/>
            </a:ext>
          </a:extLst>
        </xdr:cNvPr>
        <xdr:cNvSpPr>
          <a:spLocks noChangeShapeType="1"/>
        </xdr:cNvSpPr>
      </xdr:nvSpPr>
      <xdr:spPr bwMode="auto">
        <a:xfrm>
          <a:off x="5025903" y="2578100"/>
          <a:ext cx="533878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174503</xdr:colOff>
      <xdr:row>16</xdr:row>
      <xdr:rowOff>95250</xdr:rowOff>
    </xdr:from>
    <xdr:to>
      <xdr:col>12</xdr:col>
      <xdr:colOff>352781</xdr:colOff>
      <xdr:row>16</xdr:row>
      <xdr:rowOff>104775</xdr:rowOff>
    </xdr:to>
    <xdr:sp macro="" textlink="">
      <xdr:nvSpPr>
        <xdr:cNvPr id="40" name="Line 22">
          <a:extLst>
            <a:ext uri="{FF2B5EF4-FFF2-40B4-BE49-F238E27FC236}">
              <a16:creationId xmlns:a16="http://schemas.microsoft.com/office/drawing/2014/main" id="{EA4164C5-014F-45B5-B899-FA7F7ED6A0F0}"/>
            </a:ext>
          </a:extLst>
        </xdr:cNvPr>
        <xdr:cNvSpPr>
          <a:spLocks noChangeShapeType="1"/>
        </xdr:cNvSpPr>
      </xdr:nvSpPr>
      <xdr:spPr bwMode="auto">
        <a:xfrm>
          <a:off x="5025903" y="2743200"/>
          <a:ext cx="533878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174503</xdr:colOff>
      <xdr:row>17</xdr:row>
      <xdr:rowOff>95250</xdr:rowOff>
    </xdr:from>
    <xdr:to>
      <xdr:col>12</xdr:col>
      <xdr:colOff>352781</xdr:colOff>
      <xdr:row>17</xdr:row>
      <xdr:rowOff>104775</xdr:rowOff>
    </xdr:to>
    <xdr:sp macro="" textlink="">
      <xdr:nvSpPr>
        <xdr:cNvPr id="41" name="Line 22">
          <a:extLst>
            <a:ext uri="{FF2B5EF4-FFF2-40B4-BE49-F238E27FC236}">
              <a16:creationId xmlns:a16="http://schemas.microsoft.com/office/drawing/2014/main" id="{3409EC10-0647-4156-887E-B7153FD7368A}"/>
            </a:ext>
          </a:extLst>
        </xdr:cNvPr>
        <xdr:cNvSpPr>
          <a:spLocks noChangeShapeType="1"/>
        </xdr:cNvSpPr>
      </xdr:nvSpPr>
      <xdr:spPr bwMode="auto">
        <a:xfrm>
          <a:off x="5025903" y="2908300"/>
          <a:ext cx="533878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174503</xdr:colOff>
      <xdr:row>18</xdr:row>
      <xdr:rowOff>95250</xdr:rowOff>
    </xdr:from>
    <xdr:to>
      <xdr:col>12</xdr:col>
      <xdr:colOff>352781</xdr:colOff>
      <xdr:row>18</xdr:row>
      <xdr:rowOff>104775</xdr:rowOff>
    </xdr:to>
    <xdr:sp macro="" textlink="">
      <xdr:nvSpPr>
        <xdr:cNvPr id="42" name="Line 22">
          <a:extLst>
            <a:ext uri="{FF2B5EF4-FFF2-40B4-BE49-F238E27FC236}">
              <a16:creationId xmlns:a16="http://schemas.microsoft.com/office/drawing/2014/main" id="{7B0AAB3F-D22C-46B4-8C2C-FEE196DE8B80}"/>
            </a:ext>
          </a:extLst>
        </xdr:cNvPr>
        <xdr:cNvSpPr>
          <a:spLocks noChangeShapeType="1"/>
        </xdr:cNvSpPr>
      </xdr:nvSpPr>
      <xdr:spPr bwMode="auto">
        <a:xfrm>
          <a:off x="5025903" y="3073400"/>
          <a:ext cx="533878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174503</xdr:colOff>
      <xdr:row>19</xdr:row>
      <xdr:rowOff>95250</xdr:rowOff>
    </xdr:from>
    <xdr:to>
      <xdr:col>12</xdr:col>
      <xdr:colOff>352781</xdr:colOff>
      <xdr:row>19</xdr:row>
      <xdr:rowOff>104775</xdr:rowOff>
    </xdr:to>
    <xdr:sp macro="" textlink="">
      <xdr:nvSpPr>
        <xdr:cNvPr id="43" name="Line 22">
          <a:extLst>
            <a:ext uri="{FF2B5EF4-FFF2-40B4-BE49-F238E27FC236}">
              <a16:creationId xmlns:a16="http://schemas.microsoft.com/office/drawing/2014/main" id="{B03CE21E-8386-41AD-9F28-C8982173D624}"/>
            </a:ext>
          </a:extLst>
        </xdr:cNvPr>
        <xdr:cNvSpPr>
          <a:spLocks noChangeShapeType="1"/>
        </xdr:cNvSpPr>
      </xdr:nvSpPr>
      <xdr:spPr bwMode="auto">
        <a:xfrm>
          <a:off x="5025903" y="3238500"/>
          <a:ext cx="533878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14</xdr:row>
      <xdr:rowOff>95250</xdr:rowOff>
    </xdr:from>
    <xdr:to>
      <xdr:col>16</xdr:col>
      <xdr:colOff>238125</xdr:colOff>
      <xdr:row>14</xdr:row>
      <xdr:rowOff>104775</xdr:rowOff>
    </xdr:to>
    <xdr:sp macro="" textlink="">
      <xdr:nvSpPr>
        <xdr:cNvPr id="44" name="Line 22">
          <a:extLst>
            <a:ext uri="{FF2B5EF4-FFF2-40B4-BE49-F238E27FC236}">
              <a16:creationId xmlns:a16="http://schemas.microsoft.com/office/drawing/2014/main" id="{BA2F606C-936C-4E69-8603-99EBD470C61F}"/>
            </a:ext>
          </a:extLst>
        </xdr:cNvPr>
        <xdr:cNvSpPr>
          <a:spLocks noChangeShapeType="1"/>
        </xdr:cNvSpPr>
      </xdr:nvSpPr>
      <xdr:spPr bwMode="auto">
        <a:xfrm>
          <a:off x="6340475" y="2413000"/>
          <a:ext cx="527050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15</xdr:row>
      <xdr:rowOff>95250</xdr:rowOff>
    </xdr:from>
    <xdr:to>
      <xdr:col>16</xdr:col>
      <xdr:colOff>238125</xdr:colOff>
      <xdr:row>15</xdr:row>
      <xdr:rowOff>104775</xdr:rowOff>
    </xdr:to>
    <xdr:sp macro="" textlink="">
      <xdr:nvSpPr>
        <xdr:cNvPr id="45" name="Line 22">
          <a:extLst>
            <a:ext uri="{FF2B5EF4-FFF2-40B4-BE49-F238E27FC236}">
              <a16:creationId xmlns:a16="http://schemas.microsoft.com/office/drawing/2014/main" id="{09A415C8-A679-4E2F-B00A-4B9D16D0F6A7}"/>
            </a:ext>
          </a:extLst>
        </xdr:cNvPr>
        <xdr:cNvSpPr>
          <a:spLocks noChangeShapeType="1"/>
        </xdr:cNvSpPr>
      </xdr:nvSpPr>
      <xdr:spPr bwMode="auto">
        <a:xfrm>
          <a:off x="6340475" y="2578100"/>
          <a:ext cx="527050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16</xdr:row>
      <xdr:rowOff>95250</xdr:rowOff>
    </xdr:from>
    <xdr:to>
      <xdr:col>16</xdr:col>
      <xdr:colOff>238125</xdr:colOff>
      <xdr:row>16</xdr:row>
      <xdr:rowOff>104775</xdr:rowOff>
    </xdr:to>
    <xdr:sp macro="" textlink="">
      <xdr:nvSpPr>
        <xdr:cNvPr id="46" name="Line 22">
          <a:extLst>
            <a:ext uri="{FF2B5EF4-FFF2-40B4-BE49-F238E27FC236}">
              <a16:creationId xmlns:a16="http://schemas.microsoft.com/office/drawing/2014/main" id="{8B19E143-8423-425D-BC8C-A588AC519E99}"/>
            </a:ext>
          </a:extLst>
        </xdr:cNvPr>
        <xdr:cNvSpPr>
          <a:spLocks noChangeShapeType="1"/>
        </xdr:cNvSpPr>
      </xdr:nvSpPr>
      <xdr:spPr bwMode="auto">
        <a:xfrm>
          <a:off x="6340475" y="2743200"/>
          <a:ext cx="527050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17</xdr:row>
      <xdr:rowOff>95250</xdr:rowOff>
    </xdr:from>
    <xdr:to>
      <xdr:col>16</xdr:col>
      <xdr:colOff>238125</xdr:colOff>
      <xdr:row>17</xdr:row>
      <xdr:rowOff>104775</xdr:rowOff>
    </xdr:to>
    <xdr:sp macro="" textlink="">
      <xdr:nvSpPr>
        <xdr:cNvPr id="47" name="Line 22">
          <a:extLst>
            <a:ext uri="{FF2B5EF4-FFF2-40B4-BE49-F238E27FC236}">
              <a16:creationId xmlns:a16="http://schemas.microsoft.com/office/drawing/2014/main" id="{C833A391-CAFB-445A-A207-2AD10078BADB}"/>
            </a:ext>
          </a:extLst>
        </xdr:cNvPr>
        <xdr:cNvSpPr>
          <a:spLocks noChangeShapeType="1"/>
        </xdr:cNvSpPr>
      </xdr:nvSpPr>
      <xdr:spPr bwMode="auto">
        <a:xfrm>
          <a:off x="6340475" y="2908300"/>
          <a:ext cx="527050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18</xdr:row>
      <xdr:rowOff>95250</xdr:rowOff>
    </xdr:from>
    <xdr:to>
      <xdr:col>16</xdr:col>
      <xdr:colOff>238125</xdr:colOff>
      <xdr:row>18</xdr:row>
      <xdr:rowOff>104775</xdr:rowOff>
    </xdr:to>
    <xdr:sp macro="" textlink="">
      <xdr:nvSpPr>
        <xdr:cNvPr id="48" name="Line 22">
          <a:extLst>
            <a:ext uri="{FF2B5EF4-FFF2-40B4-BE49-F238E27FC236}">
              <a16:creationId xmlns:a16="http://schemas.microsoft.com/office/drawing/2014/main" id="{F78B41C0-C9A3-403A-BC80-FB794D5E1CCA}"/>
            </a:ext>
          </a:extLst>
        </xdr:cNvPr>
        <xdr:cNvSpPr>
          <a:spLocks noChangeShapeType="1"/>
        </xdr:cNvSpPr>
      </xdr:nvSpPr>
      <xdr:spPr bwMode="auto">
        <a:xfrm>
          <a:off x="6340475" y="3073400"/>
          <a:ext cx="527050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19</xdr:row>
      <xdr:rowOff>95250</xdr:rowOff>
    </xdr:from>
    <xdr:to>
      <xdr:col>16</xdr:col>
      <xdr:colOff>238125</xdr:colOff>
      <xdr:row>19</xdr:row>
      <xdr:rowOff>104775</xdr:rowOff>
    </xdr:to>
    <xdr:sp macro="" textlink="">
      <xdr:nvSpPr>
        <xdr:cNvPr id="49" name="Line 22">
          <a:extLst>
            <a:ext uri="{FF2B5EF4-FFF2-40B4-BE49-F238E27FC236}">
              <a16:creationId xmlns:a16="http://schemas.microsoft.com/office/drawing/2014/main" id="{49496312-7DE8-49FF-99D3-398A21B5B0FE}"/>
            </a:ext>
          </a:extLst>
        </xdr:cNvPr>
        <xdr:cNvSpPr>
          <a:spLocks noChangeShapeType="1"/>
        </xdr:cNvSpPr>
      </xdr:nvSpPr>
      <xdr:spPr bwMode="auto">
        <a:xfrm>
          <a:off x="6340475" y="3238500"/>
          <a:ext cx="527050" cy="9525"/>
        </a:xfrm>
        <a:custGeom>
          <a:avLst/>
          <a:gdLst>
            <a:gd name="T0" fmla="*/ 0 w 69"/>
            <a:gd name="T1" fmla="*/ 0 h 1"/>
            <a:gd name="T2" fmla="*/ 2147483646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0" y="0"/>
              </a:moveTo>
              <a:lnTo>
                <a:pt x="69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28575</xdr:colOff>
      <xdr:row>31</xdr:row>
      <xdr:rowOff>9525</xdr:rowOff>
    </xdr:from>
    <xdr:to>
      <xdr:col>20</xdr:col>
      <xdr:colOff>129541</xdr:colOff>
      <xdr:row>33</xdr:row>
      <xdr:rowOff>106679</xdr:rowOff>
    </xdr:to>
    <xdr:sp macro="" textlink="">
      <xdr:nvSpPr>
        <xdr:cNvPr id="50" name="Rectangle 40">
          <a:extLst>
            <a:ext uri="{FF2B5EF4-FFF2-40B4-BE49-F238E27FC236}">
              <a16:creationId xmlns:a16="http://schemas.microsoft.com/office/drawing/2014/main" id="{99C8D256-51B1-4E33-AD97-711A3CEFC7B6}"/>
            </a:ext>
          </a:extLst>
        </xdr:cNvPr>
        <xdr:cNvSpPr>
          <a:spLocks noChangeArrowheads="1"/>
        </xdr:cNvSpPr>
      </xdr:nvSpPr>
      <xdr:spPr bwMode="auto">
        <a:xfrm>
          <a:off x="7013575" y="5184775"/>
          <a:ext cx="1415416" cy="42735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佐鳴湖漕艇場駐車場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＝大会時は艇置き場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1</xdr:row>
      <xdr:rowOff>133350</xdr:rowOff>
    </xdr:from>
    <xdr:to>
      <xdr:col>9</xdr:col>
      <xdr:colOff>350607</xdr:colOff>
      <xdr:row>6</xdr:row>
      <xdr:rowOff>57150</xdr:rowOff>
    </xdr:to>
    <xdr:sp macro="" textlink="">
      <xdr:nvSpPr>
        <xdr:cNvPr id="51" name="Text Box 41">
          <a:extLst>
            <a:ext uri="{FF2B5EF4-FFF2-40B4-BE49-F238E27FC236}">
              <a16:creationId xmlns:a16="http://schemas.microsoft.com/office/drawing/2014/main" id="{FB419900-59A4-4E9F-8930-720CCD0F00BF}"/>
            </a:ext>
          </a:extLst>
        </xdr:cNvPr>
        <xdr:cNvSpPr txBox="1">
          <a:spLocks noChangeArrowheads="1"/>
        </xdr:cNvSpPr>
      </xdr:nvSpPr>
      <xdr:spPr bwMode="auto">
        <a:xfrm>
          <a:off x="565150" y="298450"/>
          <a:ext cx="3728807" cy="749300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航行ルール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練習時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日（土）　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：００まで    レース終了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分後から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日（日）　８：００まで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451091</xdr:colOff>
      <xdr:row>20</xdr:row>
      <xdr:rowOff>103158</xdr:rowOff>
    </xdr:from>
    <xdr:to>
      <xdr:col>9</xdr:col>
      <xdr:colOff>0</xdr:colOff>
      <xdr:row>23</xdr:row>
      <xdr:rowOff>112683</xdr:rowOff>
    </xdr:to>
    <xdr:sp macro="" textlink="">
      <xdr:nvSpPr>
        <xdr:cNvPr id="52" name="Rectangle 40">
          <a:extLst>
            <a:ext uri="{FF2B5EF4-FFF2-40B4-BE49-F238E27FC236}">
              <a16:creationId xmlns:a16="http://schemas.microsoft.com/office/drawing/2014/main" id="{39D435B2-4FDE-4E91-8767-A2146947DB50}"/>
            </a:ext>
          </a:extLst>
        </xdr:cNvPr>
        <xdr:cNvSpPr>
          <a:spLocks noChangeArrowheads="1"/>
        </xdr:cNvSpPr>
      </xdr:nvSpPr>
      <xdr:spPr bwMode="auto">
        <a:xfrm>
          <a:off x="3175241" y="3411508"/>
          <a:ext cx="768109" cy="51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７レーンは使用禁止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西岸側コース外は仕掛け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が入っているので注意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190500</xdr:colOff>
      <xdr:row>12</xdr:row>
      <xdr:rowOff>95250</xdr:rowOff>
    </xdr:from>
    <xdr:to>
      <xdr:col>9</xdr:col>
      <xdr:colOff>0</xdr:colOff>
      <xdr:row>13</xdr:row>
      <xdr:rowOff>95250</xdr:rowOff>
    </xdr:to>
    <xdr:sp macro="" textlink="">
      <xdr:nvSpPr>
        <xdr:cNvPr id="53" name="Rectangle 40">
          <a:extLst>
            <a:ext uri="{FF2B5EF4-FFF2-40B4-BE49-F238E27FC236}">
              <a16:creationId xmlns:a16="http://schemas.microsoft.com/office/drawing/2014/main" id="{37031108-1604-4293-9A4C-40BA10869DE6}"/>
            </a:ext>
          </a:extLst>
        </xdr:cNvPr>
        <xdr:cNvSpPr>
          <a:spLocks noChangeArrowheads="1"/>
        </xdr:cNvSpPr>
      </xdr:nvSpPr>
      <xdr:spPr bwMode="auto">
        <a:xfrm>
          <a:off x="2914650" y="2076450"/>
          <a:ext cx="10287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０レーンは使用禁止</a:t>
          </a:r>
        </a:p>
      </xdr:txBody>
    </xdr:sp>
    <xdr:clientData/>
  </xdr:twoCellAnchor>
  <xdr:twoCellAnchor>
    <xdr:from>
      <xdr:col>21</xdr:col>
      <xdr:colOff>621821</xdr:colOff>
      <xdr:row>11</xdr:row>
      <xdr:rowOff>11681</xdr:rowOff>
    </xdr:from>
    <xdr:to>
      <xdr:col>22</xdr:col>
      <xdr:colOff>431321</xdr:colOff>
      <xdr:row>19</xdr:row>
      <xdr:rowOff>106931</xdr:rowOff>
    </xdr:to>
    <xdr:sp macro="" textlink="">
      <xdr:nvSpPr>
        <xdr:cNvPr id="54" name="AutoShape 33">
          <a:extLst>
            <a:ext uri="{FF2B5EF4-FFF2-40B4-BE49-F238E27FC236}">
              <a16:creationId xmlns:a16="http://schemas.microsoft.com/office/drawing/2014/main" id="{DF0BEF58-C794-4F44-909B-6606FC7F46B8}"/>
            </a:ext>
          </a:extLst>
        </xdr:cNvPr>
        <xdr:cNvSpPr>
          <a:spLocks noChangeArrowheads="1"/>
        </xdr:cNvSpPr>
      </xdr:nvSpPr>
      <xdr:spPr bwMode="auto">
        <a:xfrm>
          <a:off x="9511821" y="1827781"/>
          <a:ext cx="431800" cy="1422400"/>
        </a:xfrm>
        <a:prstGeom prst="wedgeRectCallout">
          <a:avLst>
            <a:gd name="adj1" fmla="val -180830"/>
            <a:gd name="adj2" fmla="val 494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桟橋を出たら赤ブイ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の右側（岸側）通行する</a:t>
          </a:r>
        </a:p>
      </xdr:txBody>
    </xdr:sp>
    <xdr:clientData/>
  </xdr:twoCellAnchor>
  <xdr:twoCellAnchor>
    <xdr:from>
      <xdr:col>20</xdr:col>
      <xdr:colOff>522797</xdr:colOff>
      <xdr:row>16</xdr:row>
      <xdr:rowOff>49782</xdr:rowOff>
    </xdr:from>
    <xdr:to>
      <xdr:col>21</xdr:col>
      <xdr:colOff>95430</xdr:colOff>
      <xdr:row>18</xdr:row>
      <xdr:rowOff>106932</xdr:rowOff>
    </xdr:to>
    <xdr:sp macro="" textlink="">
      <xdr:nvSpPr>
        <xdr:cNvPr id="55" name="AutoShape 38">
          <a:extLst>
            <a:ext uri="{FF2B5EF4-FFF2-40B4-BE49-F238E27FC236}">
              <a16:creationId xmlns:a16="http://schemas.microsoft.com/office/drawing/2014/main" id="{C171195C-B6A6-45B3-9736-136285A0C4DA}"/>
            </a:ext>
          </a:extLst>
        </xdr:cNvPr>
        <xdr:cNvSpPr>
          <a:spLocks noChangeArrowheads="1"/>
        </xdr:cNvSpPr>
      </xdr:nvSpPr>
      <xdr:spPr bwMode="auto">
        <a:xfrm>
          <a:off x="8822247" y="2697732"/>
          <a:ext cx="175883" cy="387350"/>
        </a:xfrm>
        <a:prstGeom prst="upArrow">
          <a:avLst>
            <a:gd name="adj1" fmla="val 50000"/>
            <a:gd name="adj2" fmla="val 4479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247830</xdr:colOff>
      <xdr:row>18</xdr:row>
      <xdr:rowOff>141797</xdr:rowOff>
    </xdr:from>
    <xdr:to>
      <xdr:col>20</xdr:col>
      <xdr:colOff>319830</xdr:colOff>
      <xdr:row>19</xdr:row>
      <xdr:rowOff>42347</xdr:rowOff>
    </xdr:to>
    <xdr:sp macro="" textlink="">
      <xdr:nvSpPr>
        <xdr:cNvPr id="56" name="楕円 64">
          <a:extLst>
            <a:ext uri="{FF2B5EF4-FFF2-40B4-BE49-F238E27FC236}">
              <a16:creationId xmlns:a16="http://schemas.microsoft.com/office/drawing/2014/main" id="{0CF0F117-0670-47A9-9D08-8547548F4C87}"/>
            </a:ext>
          </a:extLst>
        </xdr:cNvPr>
        <xdr:cNvSpPr/>
      </xdr:nvSpPr>
      <xdr:spPr>
        <a:xfrm>
          <a:off x="8547280" y="3119947"/>
          <a:ext cx="72000" cy="656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260050</xdr:colOff>
      <xdr:row>14</xdr:row>
      <xdr:rowOff>92515</xdr:rowOff>
    </xdr:from>
    <xdr:to>
      <xdr:col>20</xdr:col>
      <xdr:colOff>332050</xdr:colOff>
      <xdr:row>14</xdr:row>
      <xdr:rowOff>164515</xdr:rowOff>
    </xdr:to>
    <xdr:sp macro="" textlink="">
      <xdr:nvSpPr>
        <xdr:cNvPr id="57" name="楕円 65">
          <a:extLst>
            <a:ext uri="{FF2B5EF4-FFF2-40B4-BE49-F238E27FC236}">
              <a16:creationId xmlns:a16="http://schemas.microsoft.com/office/drawing/2014/main" id="{88B265CD-C654-40A0-A3E6-A59FE7A7B70A}"/>
            </a:ext>
          </a:extLst>
        </xdr:cNvPr>
        <xdr:cNvSpPr/>
      </xdr:nvSpPr>
      <xdr:spPr>
        <a:xfrm>
          <a:off x="8559500" y="2410265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274967</xdr:colOff>
      <xdr:row>15</xdr:row>
      <xdr:rowOff>85186</xdr:rowOff>
    </xdr:from>
    <xdr:to>
      <xdr:col>20</xdr:col>
      <xdr:colOff>346967</xdr:colOff>
      <xdr:row>15</xdr:row>
      <xdr:rowOff>157186</xdr:rowOff>
    </xdr:to>
    <xdr:sp macro="" textlink="">
      <xdr:nvSpPr>
        <xdr:cNvPr id="58" name="楕円 66">
          <a:extLst>
            <a:ext uri="{FF2B5EF4-FFF2-40B4-BE49-F238E27FC236}">
              <a16:creationId xmlns:a16="http://schemas.microsoft.com/office/drawing/2014/main" id="{0B8F7CFC-A2D8-4153-81CC-A5D3E25A0F0A}"/>
            </a:ext>
          </a:extLst>
        </xdr:cNvPr>
        <xdr:cNvSpPr/>
      </xdr:nvSpPr>
      <xdr:spPr>
        <a:xfrm>
          <a:off x="8574417" y="2568036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410584</xdr:colOff>
      <xdr:row>16</xdr:row>
      <xdr:rowOff>114547</xdr:rowOff>
    </xdr:from>
    <xdr:to>
      <xdr:col>20</xdr:col>
      <xdr:colOff>482584</xdr:colOff>
      <xdr:row>17</xdr:row>
      <xdr:rowOff>15195</xdr:rowOff>
    </xdr:to>
    <xdr:sp macro="" textlink="">
      <xdr:nvSpPr>
        <xdr:cNvPr id="59" name="楕円 67">
          <a:extLst>
            <a:ext uri="{FF2B5EF4-FFF2-40B4-BE49-F238E27FC236}">
              <a16:creationId xmlns:a16="http://schemas.microsoft.com/office/drawing/2014/main" id="{92F7F4C8-9940-4635-9529-30F0DF05F722}"/>
            </a:ext>
          </a:extLst>
        </xdr:cNvPr>
        <xdr:cNvSpPr/>
      </xdr:nvSpPr>
      <xdr:spPr>
        <a:xfrm>
          <a:off x="8710034" y="2762497"/>
          <a:ext cx="72000" cy="65748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280214</xdr:colOff>
      <xdr:row>16</xdr:row>
      <xdr:rowOff>101212</xdr:rowOff>
    </xdr:from>
    <xdr:to>
      <xdr:col>20</xdr:col>
      <xdr:colOff>352214</xdr:colOff>
      <xdr:row>17</xdr:row>
      <xdr:rowOff>1860</xdr:rowOff>
    </xdr:to>
    <xdr:sp macro="" textlink="">
      <xdr:nvSpPr>
        <xdr:cNvPr id="60" name="楕円 68">
          <a:extLst>
            <a:ext uri="{FF2B5EF4-FFF2-40B4-BE49-F238E27FC236}">
              <a16:creationId xmlns:a16="http://schemas.microsoft.com/office/drawing/2014/main" id="{78088DCA-023F-40B7-9E64-3A07E04E52F2}"/>
            </a:ext>
          </a:extLst>
        </xdr:cNvPr>
        <xdr:cNvSpPr/>
      </xdr:nvSpPr>
      <xdr:spPr>
        <a:xfrm>
          <a:off x="8579664" y="2749162"/>
          <a:ext cx="72000" cy="65748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412271</xdr:colOff>
      <xdr:row>15</xdr:row>
      <xdr:rowOff>103158</xdr:rowOff>
    </xdr:from>
    <xdr:to>
      <xdr:col>20</xdr:col>
      <xdr:colOff>484271</xdr:colOff>
      <xdr:row>16</xdr:row>
      <xdr:rowOff>4427</xdr:rowOff>
    </xdr:to>
    <xdr:sp macro="" textlink="">
      <xdr:nvSpPr>
        <xdr:cNvPr id="61" name="楕円 69">
          <a:extLst>
            <a:ext uri="{FF2B5EF4-FFF2-40B4-BE49-F238E27FC236}">
              <a16:creationId xmlns:a16="http://schemas.microsoft.com/office/drawing/2014/main" id="{547B71F1-9446-4A32-BF59-5588FAE41694}"/>
            </a:ext>
          </a:extLst>
        </xdr:cNvPr>
        <xdr:cNvSpPr/>
      </xdr:nvSpPr>
      <xdr:spPr>
        <a:xfrm>
          <a:off x="8711721" y="2586008"/>
          <a:ext cx="72000" cy="66369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378410</xdr:colOff>
      <xdr:row>14</xdr:row>
      <xdr:rowOff>97692</xdr:rowOff>
    </xdr:from>
    <xdr:to>
      <xdr:col>20</xdr:col>
      <xdr:colOff>449152</xdr:colOff>
      <xdr:row>14</xdr:row>
      <xdr:rowOff>169692</xdr:rowOff>
    </xdr:to>
    <xdr:sp macro="" textlink="">
      <xdr:nvSpPr>
        <xdr:cNvPr id="62" name="楕円 70">
          <a:extLst>
            <a:ext uri="{FF2B5EF4-FFF2-40B4-BE49-F238E27FC236}">
              <a16:creationId xmlns:a16="http://schemas.microsoft.com/office/drawing/2014/main" id="{A0CCB8CE-838D-4655-B1FA-11FE410A2FCB}"/>
            </a:ext>
          </a:extLst>
        </xdr:cNvPr>
        <xdr:cNvSpPr/>
      </xdr:nvSpPr>
      <xdr:spPr>
        <a:xfrm>
          <a:off x="8677860" y="2415442"/>
          <a:ext cx="70742" cy="656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345237</xdr:colOff>
      <xdr:row>18</xdr:row>
      <xdr:rowOff>151322</xdr:rowOff>
    </xdr:from>
    <xdr:to>
      <xdr:col>20</xdr:col>
      <xdr:colOff>417237</xdr:colOff>
      <xdr:row>19</xdr:row>
      <xdr:rowOff>51872</xdr:rowOff>
    </xdr:to>
    <xdr:sp macro="" textlink="">
      <xdr:nvSpPr>
        <xdr:cNvPr id="63" name="楕円 71">
          <a:extLst>
            <a:ext uri="{FF2B5EF4-FFF2-40B4-BE49-F238E27FC236}">
              <a16:creationId xmlns:a16="http://schemas.microsoft.com/office/drawing/2014/main" id="{66753698-47EA-404E-9872-71CFDC3E13F3}"/>
            </a:ext>
          </a:extLst>
        </xdr:cNvPr>
        <xdr:cNvSpPr/>
      </xdr:nvSpPr>
      <xdr:spPr>
        <a:xfrm>
          <a:off x="8644687" y="3129472"/>
          <a:ext cx="72000" cy="656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366729</xdr:colOff>
      <xdr:row>17</xdr:row>
      <xdr:rowOff>122708</xdr:rowOff>
    </xdr:from>
    <xdr:to>
      <xdr:col>20</xdr:col>
      <xdr:colOff>438729</xdr:colOff>
      <xdr:row>18</xdr:row>
      <xdr:rowOff>23258</xdr:rowOff>
    </xdr:to>
    <xdr:sp macro="" textlink="">
      <xdr:nvSpPr>
        <xdr:cNvPr id="64" name="楕円 72">
          <a:extLst>
            <a:ext uri="{FF2B5EF4-FFF2-40B4-BE49-F238E27FC236}">
              <a16:creationId xmlns:a16="http://schemas.microsoft.com/office/drawing/2014/main" id="{AEA9E5AC-F24A-4381-9099-AEFD71C7EFE7}"/>
            </a:ext>
          </a:extLst>
        </xdr:cNvPr>
        <xdr:cNvSpPr/>
      </xdr:nvSpPr>
      <xdr:spPr>
        <a:xfrm>
          <a:off x="8666179" y="2935758"/>
          <a:ext cx="72000" cy="656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257895</xdr:colOff>
      <xdr:row>17</xdr:row>
      <xdr:rowOff>115379</xdr:rowOff>
    </xdr:from>
    <xdr:to>
      <xdr:col>20</xdr:col>
      <xdr:colOff>329895</xdr:colOff>
      <xdr:row>18</xdr:row>
      <xdr:rowOff>15929</xdr:rowOff>
    </xdr:to>
    <xdr:sp macro="" textlink="">
      <xdr:nvSpPr>
        <xdr:cNvPr id="65" name="楕円 73">
          <a:extLst>
            <a:ext uri="{FF2B5EF4-FFF2-40B4-BE49-F238E27FC236}">
              <a16:creationId xmlns:a16="http://schemas.microsoft.com/office/drawing/2014/main" id="{F296C127-1861-489C-88D5-A05B0A0EFD75}"/>
            </a:ext>
          </a:extLst>
        </xdr:cNvPr>
        <xdr:cNvSpPr/>
      </xdr:nvSpPr>
      <xdr:spPr>
        <a:xfrm>
          <a:off x="8557345" y="2928429"/>
          <a:ext cx="72000" cy="656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514350</xdr:colOff>
      <xdr:row>1</xdr:row>
      <xdr:rowOff>129415</xdr:rowOff>
    </xdr:from>
    <xdr:to>
      <xdr:col>22</xdr:col>
      <xdr:colOff>25883</xdr:colOff>
      <xdr:row>10</xdr:row>
      <xdr:rowOff>114299</xdr:rowOff>
    </xdr:to>
    <xdr:sp macro="" textlink="">
      <xdr:nvSpPr>
        <xdr:cNvPr id="66" name="AutoShape 33">
          <a:extLst>
            <a:ext uri="{FF2B5EF4-FFF2-40B4-BE49-F238E27FC236}">
              <a16:creationId xmlns:a16="http://schemas.microsoft.com/office/drawing/2014/main" id="{6CBCF701-9AE7-4157-993E-2497F46E88B2}"/>
            </a:ext>
          </a:extLst>
        </xdr:cNvPr>
        <xdr:cNvSpPr>
          <a:spLocks noChangeArrowheads="1"/>
        </xdr:cNvSpPr>
      </xdr:nvSpPr>
      <xdr:spPr bwMode="auto">
        <a:xfrm>
          <a:off x="8813800" y="294515"/>
          <a:ext cx="724383" cy="1470784"/>
        </a:xfrm>
        <a:prstGeom prst="wedgeRectCallout">
          <a:avLst>
            <a:gd name="adj1" fmla="val -41862"/>
            <a:gd name="adj2" fmla="val 8547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18288" rIns="0" bIns="0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個続きの赤ブイには</a:t>
          </a:r>
          <a:endParaRPr lang="en-US" altLang="ja-JP" sz="9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ウインチがついており</a:t>
          </a:r>
          <a:endParaRPr lang="en-US" altLang="ja-JP" sz="9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危険なので近寄らない</a:t>
          </a:r>
          <a:endParaRPr lang="en-US" altLang="ja-JP" sz="9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0</xdr:row>
      <xdr:rowOff>47625</xdr:rowOff>
    </xdr:from>
    <xdr:to>
      <xdr:col>21</xdr:col>
      <xdr:colOff>276225</xdr:colOff>
      <xdr:row>29</xdr:row>
      <xdr:rowOff>19050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14818F35-64AA-4CE4-8538-6253A20171DC}"/>
            </a:ext>
          </a:extLst>
        </xdr:cNvPr>
        <xdr:cNvSpPr>
          <a:spLocks/>
        </xdr:cNvSpPr>
      </xdr:nvSpPr>
      <xdr:spPr bwMode="auto">
        <a:xfrm>
          <a:off x="6826250" y="47625"/>
          <a:ext cx="2581275" cy="4873625"/>
        </a:xfrm>
        <a:custGeom>
          <a:avLst/>
          <a:gdLst>
            <a:gd name="T0" fmla="*/ 0 w 297"/>
            <a:gd name="T1" fmla="*/ 2147483646 h 485"/>
            <a:gd name="T2" fmla="*/ 2147483646 w 297"/>
            <a:gd name="T3" fmla="*/ 2147483646 h 485"/>
            <a:gd name="T4" fmla="*/ 2147483646 w 297"/>
            <a:gd name="T5" fmla="*/ 2147483646 h 485"/>
            <a:gd name="T6" fmla="*/ 2147483646 w 297"/>
            <a:gd name="T7" fmla="*/ 2147483646 h 485"/>
            <a:gd name="T8" fmla="*/ 2147483646 w 297"/>
            <a:gd name="T9" fmla="*/ 2147483646 h 485"/>
            <a:gd name="T10" fmla="*/ 2147483646 w 297"/>
            <a:gd name="T11" fmla="*/ 2147483646 h 485"/>
            <a:gd name="T12" fmla="*/ 2147483646 w 297"/>
            <a:gd name="T13" fmla="*/ 2147483646 h 485"/>
            <a:gd name="T14" fmla="*/ 2147483646 w 297"/>
            <a:gd name="T15" fmla="*/ 0 h 485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97"/>
            <a:gd name="T25" fmla="*/ 0 h 485"/>
            <a:gd name="T26" fmla="*/ 251 w 297"/>
            <a:gd name="T27" fmla="*/ 343 h 485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97" h="485">
              <a:moveTo>
                <a:pt x="168" y="485"/>
              </a:moveTo>
              <a:cubicBezTo>
                <a:pt x="175" y="480"/>
                <a:pt x="197" y="466"/>
                <a:pt x="212" y="455"/>
              </a:cubicBezTo>
              <a:cubicBezTo>
                <a:pt x="228" y="443"/>
                <a:pt x="248" y="439"/>
                <a:pt x="261" y="415"/>
              </a:cubicBezTo>
              <a:cubicBezTo>
                <a:pt x="274" y="390"/>
                <a:pt x="290" y="347"/>
                <a:pt x="293" y="309"/>
              </a:cubicBezTo>
              <a:cubicBezTo>
                <a:pt x="297" y="271"/>
                <a:pt x="296" y="227"/>
                <a:pt x="283" y="184"/>
              </a:cubicBezTo>
              <a:cubicBezTo>
                <a:pt x="270" y="141"/>
                <a:pt x="264" y="82"/>
                <a:pt x="217" y="51"/>
              </a:cubicBezTo>
              <a:cubicBezTo>
                <a:pt x="170" y="20"/>
                <a:pt x="45" y="11"/>
                <a:pt x="0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16</xdr:col>
      <xdr:colOff>381000</xdr:colOff>
      <xdr:row>28</xdr:row>
      <xdr:rowOff>161925</xdr:rowOff>
    </xdr:from>
    <xdr:to>
      <xdr:col>19</xdr:col>
      <xdr:colOff>371475</xdr:colOff>
      <xdr:row>29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7444B5D-54CA-4DF0-B8E1-8174284A9E04}"/>
            </a:ext>
          </a:extLst>
        </xdr:cNvPr>
        <xdr:cNvSpPr>
          <a:spLocks noChangeShapeType="1"/>
        </xdr:cNvSpPr>
      </xdr:nvSpPr>
      <xdr:spPr bwMode="auto">
        <a:xfrm>
          <a:off x="7213600" y="4854575"/>
          <a:ext cx="1082675" cy="57150"/>
        </a:xfrm>
        <a:custGeom>
          <a:avLst/>
          <a:gdLst>
            <a:gd name="T0" fmla="*/ 0 w 126"/>
            <a:gd name="T1" fmla="*/ 0 h 2"/>
            <a:gd name="T2" fmla="*/ 2147483646 w 126"/>
            <a:gd name="T3" fmla="*/ 2147483646 h 2"/>
            <a:gd name="T4" fmla="*/ 0 60000 65536"/>
            <a:gd name="T5" fmla="*/ 0 60000 65536"/>
            <a:gd name="T6" fmla="*/ 0 w 126"/>
            <a:gd name="T7" fmla="*/ 0 h 2"/>
            <a:gd name="T8" fmla="*/ 126 w 126"/>
            <a:gd name="T9" fmla="*/ 2 h 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26" h="2">
              <a:moveTo>
                <a:pt x="0" y="0"/>
              </a:moveTo>
              <a:lnTo>
                <a:pt x="126" y="2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29</xdr:row>
      <xdr:rowOff>28575</xdr:rowOff>
    </xdr:from>
    <xdr:to>
      <xdr:col>13</xdr:col>
      <xdr:colOff>222251</xdr:colOff>
      <xdr:row>33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E89EF82-BE0D-4F65-BF24-CC93DE52754D}"/>
            </a:ext>
          </a:extLst>
        </xdr:cNvPr>
        <xdr:cNvSpPr>
          <a:spLocks noChangeShapeType="1"/>
        </xdr:cNvSpPr>
      </xdr:nvSpPr>
      <xdr:spPr bwMode="auto">
        <a:xfrm>
          <a:off x="5791201" y="4930775"/>
          <a:ext cx="222250" cy="777875"/>
        </a:xfrm>
        <a:custGeom>
          <a:avLst/>
          <a:gdLst>
            <a:gd name="T0" fmla="*/ 0 w 46"/>
            <a:gd name="T1" fmla="*/ 0 h 132"/>
            <a:gd name="T2" fmla="*/ 2147483646 w 46"/>
            <a:gd name="T3" fmla="*/ 2147483646 h 132"/>
            <a:gd name="T4" fmla="*/ 2147483646 w 46"/>
            <a:gd name="T5" fmla="*/ 2147483646 h 132"/>
            <a:gd name="T6" fmla="*/ 0 60000 65536"/>
            <a:gd name="T7" fmla="*/ 0 60000 65536"/>
            <a:gd name="T8" fmla="*/ 0 60000 65536"/>
            <a:gd name="T9" fmla="*/ 0 w 46"/>
            <a:gd name="T10" fmla="*/ 0 h 132"/>
            <a:gd name="T11" fmla="*/ 46 w 46"/>
            <a:gd name="T12" fmla="*/ 132 h 13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6" h="132">
              <a:moveTo>
                <a:pt x="0" y="0"/>
              </a:moveTo>
              <a:lnTo>
                <a:pt x="13" y="52"/>
              </a:lnTo>
              <a:lnTo>
                <a:pt x="46" y="132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91440</xdr:colOff>
      <xdr:row>26</xdr:row>
      <xdr:rowOff>110490</xdr:rowOff>
    </xdr:from>
    <xdr:to>
      <xdr:col>17</xdr:col>
      <xdr:colOff>388695</xdr:colOff>
      <xdr:row>28</xdr:row>
      <xdr:rowOff>163974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6FDA29A1-ABE6-4419-A3D9-52F863C36D0A}"/>
            </a:ext>
          </a:extLst>
        </xdr:cNvPr>
        <xdr:cNvSpPr>
          <a:spLocks noChangeArrowheads="1"/>
        </xdr:cNvSpPr>
      </xdr:nvSpPr>
      <xdr:spPr bwMode="auto">
        <a:xfrm>
          <a:off x="7305040" y="4472940"/>
          <a:ext cx="265505" cy="38368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帰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艇</a:t>
          </a:r>
        </a:p>
      </xdr:txBody>
    </xdr:sp>
    <xdr:clientData/>
  </xdr:twoCellAnchor>
  <xdr:twoCellAnchor>
    <xdr:from>
      <xdr:col>19</xdr:col>
      <xdr:colOff>125730</xdr:colOff>
      <xdr:row>26</xdr:row>
      <xdr:rowOff>121920</xdr:rowOff>
    </xdr:from>
    <xdr:to>
      <xdr:col>19</xdr:col>
      <xdr:colOff>346382</xdr:colOff>
      <xdr:row>28</xdr:row>
      <xdr:rowOff>169377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C1DF85C8-BB02-4F04-8E5F-021951694CD3}"/>
            </a:ext>
          </a:extLst>
        </xdr:cNvPr>
        <xdr:cNvSpPr>
          <a:spLocks noChangeArrowheads="1"/>
        </xdr:cNvSpPr>
      </xdr:nvSpPr>
      <xdr:spPr bwMode="auto">
        <a:xfrm>
          <a:off x="8050530" y="4484370"/>
          <a:ext cx="220652" cy="37765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出艇</a:t>
          </a:r>
        </a:p>
      </xdr:txBody>
    </xdr:sp>
    <xdr:clientData/>
  </xdr:twoCellAnchor>
  <xdr:twoCellAnchor>
    <xdr:from>
      <xdr:col>8</xdr:col>
      <xdr:colOff>209550</xdr:colOff>
      <xdr:row>28</xdr:row>
      <xdr:rowOff>28575</xdr:rowOff>
    </xdr:from>
    <xdr:to>
      <xdr:col>13</xdr:col>
      <xdr:colOff>0</xdr:colOff>
      <xdr:row>29</xdr:row>
      <xdr:rowOff>9525</xdr:rowOff>
    </xdr:to>
    <xdr:sp macro="" textlink="">
      <xdr:nvSpPr>
        <xdr:cNvPr id="7" name="Freeform 13">
          <a:extLst>
            <a:ext uri="{FF2B5EF4-FFF2-40B4-BE49-F238E27FC236}">
              <a16:creationId xmlns:a16="http://schemas.microsoft.com/office/drawing/2014/main" id="{A92CFC7F-6997-49A7-A375-36AD08099FD5}"/>
            </a:ext>
          </a:extLst>
        </xdr:cNvPr>
        <xdr:cNvSpPr>
          <a:spLocks/>
        </xdr:cNvSpPr>
      </xdr:nvSpPr>
      <xdr:spPr bwMode="auto">
        <a:xfrm flipV="1">
          <a:off x="3810000" y="4721225"/>
          <a:ext cx="1981200" cy="190500"/>
        </a:xfrm>
        <a:custGeom>
          <a:avLst/>
          <a:gdLst>
            <a:gd name="T0" fmla="*/ 2147483646 w 326"/>
            <a:gd name="T1" fmla="*/ 0 h 5"/>
            <a:gd name="T2" fmla="*/ 2147483646 w 326"/>
            <a:gd name="T3" fmla="*/ 2147483646 h 5"/>
            <a:gd name="T4" fmla="*/ 0 w 326"/>
            <a:gd name="T5" fmla="*/ 2147483646 h 5"/>
            <a:gd name="T6" fmla="*/ 0 60000 65536"/>
            <a:gd name="T7" fmla="*/ 0 60000 65536"/>
            <a:gd name="T8" fmla="*/ 0 60000 65536"/>
            <a:gd name="T9" fmla="*/ 0 w 326"/>
            <a:gd name="T10" fmla="*/ 0 h 5"/>
            <a:gd name="T11" fmla="*/ 6 w 326"/>
            <a:gd name="T12" fmla="*/ 56 h 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26" h="5">
              <a:moveTo>
                <a:pt x="326" y="0"/>
              </a:moveTo>
              <a:cubicBezTo>
                <a:pt x="286" y="1"/>
                <a:pt x="141" y="3"/>
                <a:pt x="87" y="4"/>
              </a:cubicBezTo>
              <a:cubicBezTo>
                <a:pt x="33" y="5"/>
                <a:pt x="18" y="4"/>
                <a:pt x="0" y="4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381000</xdr:colOff>
      <xdr:row>28</xdr:row>
      <xdr:rowOff>152400</xdr:rowOff>
    </xdr:from>
    <xdr:to>
      <xdr:col>16</xdr:col>
      <xdr:colOff>419100</xdr:colOff>
      <xdr:row>35</xdr:row>
      <xdr:rowOff>47625</xdr:rowOff>
    </xdr:to>
    <xdr:sp macro="" textlink="">
      <xdr:nvSpPr>
        <xdr:cNvPr id="8" name="Freeform 14">
          <a:extLst>
            <a:ext uri="{FF2B5EF4-FFF2-40B4-BE49-F238E27FC236}">
              <a16:creationId xmlns:a16="http://schemas.microsoft.com/office/drawing/2014/main" id="{B9CD7CCC-2213-4CAD-A983-EBCD6C6A889A}"/>
            </a:ext>
          </a:extLst>
        </xdr:cNvPr>
        <xdr:cNvSpPr>
          <a:spLocks/>
        </xdr:cNvSpPr>
      </xdr:nvSpPr>
      <xdr:spPr bwMode="auto">
        <a:xfrm>
          <a:off x="6502400" y="4845050"/>
          <a:ext cx="711200" cy="1146175"/>
        </a:xfrm>
        <a:custGeom>
          <a:avLst/>
          <a:gdLst>
            <a:gd name="T0" fmla="*/ 0 w 94"/>
            <a:gd name="T1" fmla="*/ 2147483646 h 120"/>
            <a:gd name="T2" fmla="*/ 2147483646 w 94"/>
            <a:gd name="T3" fmla="*/ 2147483646 h 120"/>
            <a:gd name="T4" fmla="*/ 2147483646 w 94"/>
            <a:gd name="T5" fmla="*/ 2147483646 h 120"/>
            <a:gd name="T6" fmla="*/ 2147483646 w 94"/>
            <a:gd name="T7" fmla="*/ 2147483646 h 120"/>
            <a:gd name="T8" fmla="*/ 2147483646 w 94"/>
            <a:gd name="T9" fmla="*/ 2147483646 h 1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4"/>
            <a:gd name="T16" fmla="*/ 0 h 120"/>
            <a:gd name="T17" fmla="*/ 142 w 94"/>
            <a:gd name="T18" fmla="*/ 25 h 1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4" h="120">
              <a:moveTo>
                <a:pt x="34" y="120"/>
              </a:moveTo>
              <a:cubicBezTo>
                <a:pt x="30" y="114"/>
                <a:pt x="17" y="101"/>
                <a:pt x="12" y="83"/>
              </a:cubicBezTo>
              <a:cubicBezTo>
                <a:pt x="7" y="65"/>
                <a:pt x="0" y="26"/>
                <a:pt x="4" y="13"/>
              </a:cubicBezTo>
              <a:cubicBezTo>
                <a:pt x="8" y="0"/>
                <a:pt x="23" y="4"/>
                <a:pt x="38" y="2"/>
              </a:cubicBezTo>
              <a:cubicBezTo>
                <a:pt x="53" y="0"/>
                <a:pt x="82" y="1"/>
                <a:pt x="94" y="1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12</xdr:row>
      <xdr:rowOff>95250</xdr:rowOff>
    </xdr:from>
    <xdr:to>
      <xdr:col>14</xdr:col>
      <xdr:colOff>295275</xdr:colOff>
      <xdr:row>12</xdr:row>
      <xdr:rowOff>104775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EE774AFA-496B-4E2C-B9EA-CAF4EAC74DBF}"/>
            </a:ext>
          </a:extLst>
        </xdr:cNvPr>
        <xdr:cNvSpPr>
          <a:spLocks noChangeShapeType="1"/>
        </xdr:cNvSpPr>
      </xdr:nvSpPr>
      <xdr:spPr bwMode="auto">
        <a:xfrm>
          <a:off x="5819775" y="2133600"/>
          <a:ext cx="622300" cy="9525"/>
        </a:xfrm>
        <a:custGeom>
          <a:avLst/>
          <a:gdLst>
            <a:gd name="T0" fmla="*/ 2147483646 w 69"/>
            <a:gd name="T1" fmla="*/ 2147483646 h 1"/>
            <a:gd name="T2" fmla="*/ 0 w 69"/>
            <a:gd name="T3" fmla="*/ 0 h 1"/>
            <a:gd name="T4" fmla="*/ 0 60000 65536"/>
            <a:gd name="T5" fmla="*/ 0 60000 65536"/>
            <a:gd name="T6" fmla="*/ 0 w 69"/>
            <a:gd name="T7" fmla="*/ 0 h 1"/>
            <a:gd name="T8" fmla="*/ 69 w 6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9" h="1">
              <a:moveTo>
                <a:pt x="69" y="1"/>
              </a:moveTo>
              <a:lnTo>
                <a:pt x="0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209550</xdr:colOff>
      <xdr:row>12</xdr:row>
      <xdr:rowOff>95250</xdr:rowOff>
    </xdr:from>
    <xdr:to>
      <xdr:col>19</xdr:col>
      <xdr:colOff>533400</xdr:colOff>
      <xdr:row>12</xdr:row>
      <xdr:rowOff>95250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87B1B52E-B533-4889-8924-307F05EFA344}"/>
            </a:ext>
          </a:extLst>
        </xdr:cNvPr>
        <xdr:cNvSpPr>
          <a:spLocks noChangeShapeType="1"/>
        </xdr:cNvSpPr>
      </xdr:nvSpPr>
      <xdr:spPr bwMode="auto">
        <a:xfrm flipH="1">
          <a:off x="8134350" y="2133600"/>
          <a:ext cx="32385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333375</xdr:colOff>
      <xdr:row>20</xdr:row>
      <xdr:rowOff>76200</xdr:rowOff>
    </xdr:from>
    <xdr:to>
      <xdr:col>19</xdr:col>
      <xdr:colOff>361950</xdr:colOff>
      <xdr:row>23</xdr:row>
      <xdr:rowOff>85725</xdr:rowOff>
    </xdr:to>
    <xdr:sp macro="" textlink="">
      <xdr:nvSpPr>
        <xdr:cNvPr id="11" name="AutoShape 28">
          <a:extLst>
            <a:ext uri="{FF2B5EF4-FFF2-40B4-BE49-F238E27FC236}">
              <a16:creationId xmlns:a16="http://schemas.microsoft.com/office/drawing/2014/main" id="{B92C8237-1702-4FFE-A0A0-BAB178D11760}"/>
            </a:ext>
          </a:extLst>
        </xdr:cNvPr>
        <xdr:cNvSpPr>
          <a:spLocks noChangeArrowheads="1"/>
        </xdr:cNvSpPr>
      </xdr:nvSpPr>
      <xdr:spPr bwMode="auto">
        <a:xfrm rot="5400000">
          <a:off x="7839075" y="3505200"/>
          <a:ext cx="511175" cy="384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27</xdr:row>
      <xdr:rowOff>47625</xdr:rowOff>
    </xdr:from>
    <xdr:to>
      <xdr:col>8</xdr:col>
      <xdr:colOff>238125</xdr:colOff>
      <xdr:row>28</xdr:row>
      <xdr:rowOff>66675</xdr:rowOff>
    </xdr:to>
    <xdr:sp macro="" textlink="">
      <xdr:nvSpPr>
        <xdr:cNvPr id="12" name="Freeform 35">
          <a:extLst>
            <a:ext uri="{FF2B5EF4-FFF2-40B4-BE49-F238E27FC236}">
              <a16:creationId xmlns:a16="http://schemas.microsoft.com/office/drawing/2014/main" id="{907801B4-196C-497F-93E1-7318752056FB}"/>
            </a:ext>
          </a:extLst>
        </xdr:cNvPr>
        <xdr:cNvSpPr>
          <a:spLocks/>
        </xdr:cNvSpPr>
      </xdr:nvSpPr>
      <xdr:spPr bwMode="auto">
        <a:xfrm>
          <a:off x="431800" y="4575175"/>
          <a:ext cx="3406775" cy="184150"/>
        </a:xfrm>
        <a:custGeom>
          <a:avLst/>
          <a:gdLst>
            <a:gd name="T0" fmla="*/ 0 w 202"/>
            <a:gd name="T1" fmla="*/ 2147483646 h 23"/>
            <a:gd name="T2" fmla="*/ 2147483646 w 202"/>
            <a:gd name="T3" fmla="*/ 2147483646 h 23"/>
            <a:gd name="T4" fmla="*/ 2147483646 w 202"/>
            <a:gd name="T5" fmla="*/ 2147483646 h 23"/>
            <a:gd name="T6" fmla="*/ 2147483646 w 202"/>
            <a:gd name="T7" fmla="*/ 2147483646 h 23"/>
            <a:gd name="T8" fmla="*/ 0 60000 65536"/>
            <a:gd name="T9" fmla="*/ 0 60000 65536"/>
            <a:gd name="T10" fmla="*/ 0 60000 65536"/>
            <a:gd name="T11" fmla="*/ 0 60000 65536"/>
            <a:gd name="T12" fmla="*/ 0 w 202"/>
            <a:gd name="T13" fmla="*/ 0 h 23"/>
            <a:gd name="T14" fmla="*/ 118 w 202"/>
            <a:gd name="T15" fmla="*/ 42 h 2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02" h="23">
              <a:moveTo>
                <a:pt x="0" y="1"/>
              </a:moveTo>
              <a:cubicBezTo>
                <a:pt x="7" y="1"/>
                <a:pt x="23" y="0"/>
                <a:pt x="42" y="0"/>
              </a:cubicBezTo>
              <a:cubicBezTo>
                <a:pt x="61" y="0"/>
                <a:pt x="93" y="0"/>
                <a:pt x="112" y="1"/>
              </a:cubicBezTo>
              <a:cubicBezTo>
                <a:pt x="131" y="2"/>
                <a:pt x="139" y="1"/>
                <a:pt x="154" y="5"/>
              </a:cubicBezTo>
              <a:cubicBezTo>
                <a:pt x="169" y="9"/>
                <a:pt x="192" y="19"/>
                <a:pt x="202" y="23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47625</xdr:rowOff>
    </xdr:from>
    <xdr:to>
      <xdr:col>15</xdr:col>
      <xdr:colOff>314325</xdr:colOff>
      <xdr:row>1</xdr:row>
      <xdr:rowOff>0</xdr:rowOff>
    </xdr:to>
    <xdr:sp macro="" textlink="">
      <xdr:nvSpPr>
        <xdr:cNvPr id="13" name="Line 36">
          <a:extLst>
            <a:ext uri="{FF2B5EF4-FFF2-40B4-BE49-F238E27FC236}">
              <a16:creationId xmlns:a16="http://schemas.microsoft.com/office/drawing/2014/main" id="{F7383A28-3DFE-41B4-A7CF-957C1AA18E70}"/>
            </a:ext>
          </a:extLst>
        </xdr:cNvPr>
        <xdr:cNvSpPr>
          <a:spLocks noChangeShapeType="1"/>
        </xdr:cNvSpPr>
      </xdr:nvSpPr>
      <xdr:spPr bwMode="auto">
        <a:xfrm>
          <a:off x="355600" y="47625"/>
          <a:ext cx="6461125" cy="117475"/>
        </a:xfrm>
        <a:custGeom>
          <a:avLst/>
          <a:gdLst>
            <a:gd name="T0" fmla="*/ 0 w 721"/>
            <a:gd name="T1" fmla="*/ 2147483646 h 13"/>
            <a:gd name="T2" fmla="*/ 2147483646 w 721"/>
            <a:gd name="T3" fmla="*/ 0 h 13"/>
            <a:gd name="T4" fmla="*/ 0 60000 65536"/>
            <a:gd name="T5" fmla="*/ 0 60000 65536"/>
            <a:gd name="T6" fmla="*/ 0 w 721"/>
            <a:gd name="T7" fmla="*/ 0 h 13"/>
            <a:gd name="T8" fmla="*/ 721 w 721"/>
            <a:gd name="T9" fmla="*/ 13 h 1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21" h="13">
              <a:moveTo>
                <a:pt x="0" y="13"/>
              </a:moveTo>
              <a:lnTo>
                <a:pt x="721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89535</xdr:colOff>
      <xdr:row>30</xdr:row>
      <xdr:rowOff>28575</xdr:rowOff>
    </xdr:from>
    <xdr:to>
      <xdr:col>19</xdr:col>
      <xdr:colOff>499562</xdr:colOff>
      <xdr:row>31</xdr:row>
      <xdr:rowOff>146830</xdr:rowOff>
    </xdr:to>
    <xdr:sp macro="" textlink="">
      <xdr:nvSpPr>
        <xdr:cNvPr id="14" name="Text Box 38">
          <a:extLst>
            <a:ext uri="{FF2B5EF4-FFF2-40B4-BE49-F238E27FC236}">
              <a16:creationId xmlns:a16="http://schemas.microsoft.com/office/drawing/2014/main" id="{3C735468-DA6F-404F-8DC9-F736FD834D12}"/>
            </a:ext>
          </a:extLst>
        </xdr:cNvPr>
        <xdr:cNvSpPr txBox="1">
          <a:spLocks noChangeArrowheads="1"/>
        </xdr:cNvSpPr>
      </xdr:nvSpPr>
      <xdr:spPr bwMode="auto">
        <a:xfrm>
          <a:off x="7303135" y="5140325"/>
          <a:ext cx="1121227" cy="289705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艇庫</a:t>
          </a:r>
        </a:p>
      </xdr:txBody>
    </xdr:sp>
    <xdr:clientData/>
  </xdr:twoCellAnchor>
  <xdr:twoCellAnchor>
    <xdr:from>
      <xdr:col>18</xdr:col>
      <xdr:colOff>123824</xdr:colOff>
      <xdr:row>26</xdr:row>
      <xdr:rowOff>121921</xdr:rowOff>
    </xdr:from>
    <xdr:to>
      <xdr:col>19</xdr:col>
      <xdr:colOff>7741</xdr:colOff>
      <xdr:row>28</xdr:row>
      <xdr:rowOff>167378</xdr:rowOff>
    </xdr:to>
    <xdr:sp macro="" textlink="">
      <xdr:nvSpPr>
        <xdr:cNvPr id="15" name="Rectangle 9">
          <a:extLst>
            <a:ext uri="{FF2B5EF4-FFF2-40B4-BE49-F238E27FC236}">
              <a16:creationId xmlns:a16="http://schemas.microsoft.com/office/drawing/2014/main" id="{FE5B0135-7720-4D6A-94FA-C166A673DC34}"/>
            </a:ext>
          </a:extLst>
        </xdr:cNvPr>
        <xdr:cNvSpPr>
          <a:spLocks noChangeArrowheads="1"/>
        </xdr:cNvSpPr>
      </xdr:nvSpPr>
      <xdr:spPr bwMode="auto">
        <a:xfrm>
          <a:off x="7693024" y="4484371"/>
          <a:ext cx="239517" cy="37565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出帰</a:t>
          </a:r>
        </a:p>
      </xdr:txBody>
    </xdr:sp>
    <xdr:clientData/>
  </xdr:twoCellAnchor>
  <xdr:twoCellAnchor>
    <xdr:from>
      <xdr:col>19</xdr:col>
      <xdr:colOff>504825</xdr:colOff>
      <xdr:row>23</xdr:row>
      <xdr:rowOff>38100</xdr:rowOff>
    </xdr:from>
    <xdr:to>
      <xdr:col>20</xdr:col>
      <xdr:colOff>209550</xdr:colOff>
      <xdr:row>25</xdr:row>
      <xdr:rowOff>95250</xdr:rowOff>
    </xdr:to>
    <xdr:sp macro="" textlink="">
      <xdr:nvSpPr>
        <xdr:cNvPr id="16" name="AutoShape 32">
          <a:extLst>
            <a:ext uri="{FF2B5EF4-FFF2-40B4-BE49-F238E27FC236}">
              <a16:creationId xmlns:a16="http://schemas.microsoft.com/office/drawing/2014/main" id="{53615D42-F2C6-4291-B64E-7526D55DC7B5}"/>
            </a:ext>
          </a:extLst>
        </xdr:cNvPr>
        <xdr:cNvSpPr>
          <a:spLocks noChangeArrowheads="1"/>
        </xdr:cNvSpPr>
      </xdr:nvSpPr>
      <xdr:spPr bwMode="auto">
        <a:xfrm>
          <a:off x="8429625" y="3905250"/>
          <a:ext cx="307975" cy="3873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577214</xdr:colOff>
      <xdr:row>12</xdr:row>
      <xdr:rowOff>47625</xdr:rowOff>
    </xdr:from>
    <xdr:to>
      <xdr:col>22</xdr:col>
      <xdr:colOff>390525</xdr:colOff>
      <xdr:row>20</xdr:row>
      <xdr:rowOff>161925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761CEF31-C24C-4C3B-91C8-B023718EED08}"/>
            </a:ext>
          </a:extLst>
        </xdr:cNvPr>
        <xdr:cNvSpPr>
          <a:spLocks noChangeArrowheads="1"/>
        </xdr:cNvSpPr>
      </xdr:nvSpPr>
      <xdr:spPr bwMode="auto">
        <a:xfrm>
          <a:off x="9708514" y="2085975"/>
          <a:ext cx="422911" cy="1441450"/>
        </a:xfrm>
        <a:prstGeom prst="wedgeRectCallout">
          <a:avLst>
            <a:gd name="adj1" fmla="val -180830"/>
            <a:gd name="adj2" fmla="val 477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桟橋を出たら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赤ブイ右側　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（（岸側）を通行する</a:t>
          </a:r>
        </a:p>
      </xdr:txBody>
    </xdr:sp>
    <xdr:clientData/>
  </xdr:twoCellAnchor>
  <xdr:twoCellAnchor>
    <xdr:from>
      <xdr:col>3</xdr:col>
      <xdr:colOff>47625</xdr:colOff>
      <xdr:row>8</xdr:row>
      <xdr:rowOff>104775</xdr:rowOff>
    </xdr:from>
    <xdr:to>
      <xdr:col>4</xdr:col>
      <xdr:colOff>220934</xdr:colOff>
      <xdr:row>10</xdr:row>
      <xdr:rowOff>104775</xdr:rowOff>
    </xdr:to>
    <xdr:sp macro="" textlink="">
      <xdr:nvSpPr>
        <xdr:cNvPr id="18" name="AutoShape 34">
          <a:extLst>
            <a:ext uri="{FF2B5EF4-FFF2-40B4-BE49-F238E27FC236}">
              <a16:creationId xmlns:a16="http://schemas.microsoft.com/office/drawing/2014/main" id="{6692858A-2F25-47A6-B6D6-7214B099BC4E}"/>
            </a:ext>
          </a:extLst>
        </xdr:cNvPr>
        <xdr:cNvSpPr>
          <a:spLocks noChangeArrowheads="1"/>
        </xdr:cNvSpPr>
      </xdr:nvSpPr>
      <xdr:spPr bwMode="auto">
        <a:xfrm>
          <a:off x="1330325" y="1482725"/>
          <a:ext cx="636859" cy="330200"/>
        </a:xfrm>
        <a:prstGeom prst="wedgeEllipseCallout">
          <a:avLst>
            <a:gd name="adj1" fmla="val -53032"/>
            <a:gd name="adj2" fmla="val 826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赤ブイ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247650</xdr:colOff>
      <xdr:row>8</xdr:row>
      <xdr:rowOff>89535</xdr:rowOff>
    </xdr:from>
    <xdr:to>
      <xdr:col>9</xdr:col>
      <xdr:colOff>388509</xdr:colOff>
      <xdr:row>10</xdr:row>
      <xdr:rowOff>80010</xdr:rowOff>
    </xdr:to>
    <xdr:sp macro="" textlink="">
      <xdr:nvSpPr>
        <xdr:cNvPr id="19" name="AutoShape 35">
          <a:extLst>
            <a:ext uri="{FF2B5EF4-FFF2-40B4-BE49-F238E27FC236}">
              <a16:creationId xmlns:a16="http://schemas.microsoft.com/office/drawing/2014/main" id="{73D14571-78F3-41A9-8133-2DD5672B9B66}"/>
            </a:ext>
          </a:extLst>
        </xdr:cNvPr>
        <xdr:cNvSpPr>
          <a:spLocks noChangeArrowheads="1"/>
        </xdr:cNvSpPr>
      </xdr:nvSpPr>
      <xdr:spPr bwMode="auto">
        <a:xfrm>
          <a:off x="3848100" y="1467485"/>
          <a:ext cx="604409" cy="320675"/>
        </a:xfrm>
        <a:prstGeom prst="wedgeEllipseCallout">
          <a:avLst>
            <a:gd name="adj1" fmla="val 57935"/>
            <a:gd name="adj2" fmla="val 9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赤ブイ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201930</xdr:colOff>
      <xdr:row>8</xdr:row>
      <xdr:rowOff>85725</xdr:rowOff>
    </xdr:from>
    <xdr:to>
      <xdr:col>15</xdr:col>
      <xdr:colOff>112637</xdr:colOff>
      <xdr:row>10</xdr:row>
      <xdr:rowOff>66675</xdr:rowOff>
    </xdr:to>
    <xdr:sp macro="" textlink="">
      <xdr:nvSpPr>
        <xdr:cNvPr id="20" name="AutoShape 36">
          <a:extLst>
            <a:ext uri="{FF2B5EF4-FFF2-40B4-BE49-F238E27FC236}">
              <a16:creationId xmlns:a16="http://schemas.microsoft.com/office/drawing/2014/main" id="{735CBC73-FA94-446D-A8F0-FF239DA73856}"/>
            </a:ext>
          </a:extLst>
        </xdr:cNvPr>
        <xdr:cNvSpPr>
          <a:spLocks noChangeArrowheads="1"/>
        </xdr:cNvSpPr>
      </xdr:nvSpPr>
      <xdr:spPr bwMode="auto">
        <a:xfrm>
          <a:off x="5993130" y="1463675"/>
          <a:ext cx="621907" cy="311150"/>
        </a:xfrm>
        <a:prstGeom prst="wedgeEllipseCallout">
          <a:avLst>
            <a:gd name="adj1" fmla="val -50000"/>
            <a:gd name="adj2" fmla="val 9411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赤ブイ</a:t>
          </a:r>
        </a:p>
      </xdr:txBody>
    </xdr:sp>
    <xdr:clientData/>
  </xdr:twoCellAnchor>
  <xdr:twoCellAnchor>
    <xdr:from>
      <xdr:col>7</xdr:col>
      <xdr:colOff>447675</xdr:colOff>
      <xdr:row>12</xdr:row>
      <xdr:rowOff>47625</xdr:rowOff>
    </xdr:from>
    <xdr:to>
      <xdr:col>9</xdr:col>
      <xdr:colOff>57150</xdr:colOff>
      <xdr:row>12</xdr:row>
      <xdr:rowOff>76200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B916F158-69E9-420F-83E3-BA9B8A69FAC9}"/>
            </a:ext>
          </a:extLst>
        </xdr:cNvPr>
        <xdr:cNvSpPr>
          <a:spLocks noChangeShapeType="1"/>
        </xdr:cNvSpPr>
      </xdr:nvSpPr>
      <xdr:spPr bwMode="auto">
        <a:xfrm flipV="1">
          <a:off x="3584575" y="2085975"/>
          <a:ext cx="536575" cy="28575"/>
        </a:xfrm>
        <a:custGeom>
          <a:avLst/>
          <a:gdLst>
            <a:gd name="T0" fmla="*/ 2147483646 w 53"/>
            <a:gd name="T1" fmla="*/ 0 h 1"/>
            <a:gd name="T2" fmla="*/ 0 w 53"/>
            <a:gd name="T3" fmla="*/ 0 h 1"/>
            <a:gd name="T4" fmla="*/ 0 60000 65536"/>
            <a:gd name="T5" fmla="*/ 0 60000 65536"/>
            <a:gd name="T6" fmla="*/ 0 w 53"/>
            <a:gd name="T7" fmla="*/ 0 h 1"/>
            <a:gd name="T8" fmla="*/ 53 w 5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53" h="1">
              <a:moveTo>
                <a:pt x="53" y="0"/>
              </a:moveTo>
              <a:lnTo>
                <a:pt x="0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609600</xdr:colOff>
      <xdr:row>15</xdr:row>
      <xdr:rowOff>85725</xdr:rowOff>
    </xdr:from>
    <xdr:to>
      <xdr:col>21</xdr:col>
      <xdr:colOff>180975</xdr:colOff>
      <xdr:row>17</xdr:row>
      <xdr:rowOff>152400</xdr:rowOff>
    </xdr:to>
    <xdr:sp macro="" textlink="">
      <xdr:nvSpPr>
        <xdr:cNvPr id="22" name="AutoShape 38">
          <a:extLst>
            <a:ext uri="{FF2B5EF4-FFF2-40B4-BE49-F238E27FC236}">
              <a16:creationId xmlns:a16="http://schemas.microsoft.com/office/drawing/2014/main" id="{95EE430D-A3CA-4F03-8F15-FD021523D06F}"/>
            </a:ext>
          </a:extLst>
        </xdr:cNvPr>
        <xdr:cNvSpPr>
          <a:spLocks noChangeArrowheads="1"/>
        </xdr:cNvSpPr>
      </xdr:nvSpPr>
      <xdr:spPr bwMode="auto">
        <a:xfrm>
          <a:off x="9131300" y="2625725"/>
          <a:ext cx="180975" cy="396875"/>
        </a:xfrm>
        <a:prstGeom prst="upArrow">
          <a:avLst>
            <a:gd name="adj1" fmla="val 50000"/>
            <a:gd name="adj2" fmla="val 4479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361950</xdr:colOff>
      <xdr:row>9</xdr:row>
      <xdr:rowOff>9525</xdr:rowOff>
    </xdr:from>
    <xdr:to>
      <xdr:col>19</xdr:col>
      <xdr:colOff>619140</xdr:colOff>
      <xdr:row>10</xdr:row>
      <xdr:rowOff>133350</xdr:rowOff>
    </xdr:to>
    <xdr:sp macro="" textlink="">
      <xdr:nvSpPr>
        <xdr:cNvPr id="23" name="AutoShape 39">
          <a:extLst>
            <a:ext uri="{FF2B5EF4-FFF2-40B4-BE49-F238E27FC236}">
              <a16:creationId xmlns:a16="http://schemas.microsoft.com/office/drawing/2014/main" id="{19E34B21-0858-4FFA-85DB-744522F0B569}"/>
            </a:ext>
          </a:extLst>
        </xdr:cNvPr>
        <xdr:cNvSpPr>
          <a:spLocks noChangeArrowheads="1"/>
        </xdr:cNvSpPr>
      </xdr:nvSpPr>
      <xdr:spPr bwMode="auto">
        <a:xfrm>
          <a:off x="7924800" y="1552575"/>
          <a:ext cx="600090" cy="288925"/>
        </a:xfrm>
        <a:prstGeom prst="wedgeEllipseCallout">
          <a:avLst>
            <a:gd name="adj1" fmla="val -42648"/>
            <a:gd name="adj2" fmla="val 8870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赤ブイ</a:t>
          </a:r>
        </a:p>
      </xdr:txBody>
    </xdr:sp>
    <xdr:clientData/>
  </xdr:twoCellAnchor>
  <xdr:twoCellAnchor>
    <xdr:from>
      <xdr:col>17</xdr:col>
      <xdr:colOff>41909</xdr:colOff>
      <xdr:row>33</xdr:row>
      <xdr:rowOff>7621</xdr:rowOff>
    </xdr:from>
    <xdr:to>
      <xdr:col>20</xdr:col>
      <xdr:colOff>142875</xdr:colOff>
      <xdr:row>35</xdr:row>
      <xdr:rowOff>104775</xdr:rowOff>
    </xdr:to>
    <xdr:sp macro="" textlink="">
      <xdr:nvSpPr>
        <xdr:cNvPr id="24" name="Rectangle 40">
          <a:extLst>
            <a:ext uri="{FF2B5EF4-FFF2-40B4-BE49-F238E27FC236}">
              <a16:creationId xmlns:a16="http://schemas.microsoft.com/office/drawing/2014/main" id="{343B5CA0-2512-41AC-835E-09D870015194}"/>
            </a:ext>
          </a:extLst>
        </xdr:cNvPr>
        <xdr:cNvSpPr>
          <a:spLocks noChangeArrowheads="1"/>
        </xdr:cNvSpPr>
      </xdr:nvSpPr>
      <xdr:spPr bwMode="auto">
        <a:xfrm>
          <a:off x="7255509" y="5621021"/>
          <a:ext cx="1415416" cy="42735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佐鳴湖漕艇場駐車場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＝大会時は艇置き場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647700</xdr:colOff>
      <xdr:row>25</xdr:row>
      <xdr:rowOff>38100</xdr:rowOff>
    </xdr:from>
    <xdr:to>
      <xdr:col>20</xdr:col>
      <xdr:colOff>485775</xdr:colOff>
      <xdr:row>27</xdr:row>
      <xdr:rowOff>85725</xdr:rowOff>
    </xdr:to>
    <xdr:sp macro="" textlink="">
      <xdr:nvSpPr>
        <xdr:cNvPr id="25" name="Freeform 41">
          <a:extLst>
            <a:ext uri="{FF2B5EF4-FFF2-40B4-BE49-F238E27FC236}">
              <a16:creationId xmlns:a16="http://schemas.microsoft.com/office/drawing/2014/main" id="{22358B12-B625-41DE-A872-D8117E4F7869}"/>
            </a:ext>
          </a:extLst>
        </xdr:cNvPr>
        <xdr:cNvSpPr>
          <a:spLocks/>
        </xdr:cNvSpPr>
      </xdr:nvSpPr>
      <xdr:spPr bwMode="auto">
        <a:xfrm>
          <a:off x="8528050" y="4235450"/>
          <a:ext cx="485775" cy="377825"/>
        </a:xfrm>
        <a:custGeom>
          <a:avLst/>
          <a:gdLst>
            <a:gd name="T0" fmla="*/ 2147483646 w 52"/>
            <a:gd name="T1" fmla="*/ 2147483646 h 41"/>
            <a:gd name="T2" fmla="*/ 0 w 52"/>
            <a:gd name="T3" fmla="*/ 2147483646 h 41"/>
            <a:gd name="T4" fmla="*/ 2147483646 w 52"/>
            <a:gd name="T5" fmla="*/ 0 h 41"/>
            <a:gd name="T6" fmla="*/ 2147483646 w 52"/>
            <a:gd name="T7" fmla="*/ 2147483646 h 41"/>
            <a:gd name="T8" fmla="*/ 0 60000 65536"/>
            <a:gd name="T9" fmla="*/ 0 60000 65536"/>
            <a:gd name="T10" fmla="*/ 0 60000 65536"/>
            <a:gd name="T11" fmla="*/ 0 60000 65536"/>
            <a:gd name="T12" fmla="*/ 0 w 52"/>
            <a:gd name="T13" fmla="*/ 0 h 41"/>
            <a:gd name="T14" fmla="*/ 52 w 52"/>
            <a:gd name="T15" fmla="*/ 41 h 4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2" h="41">
              <a:moveTo>
                <a:pt x="13" y="41"/>
              </a:moveTo>
              <a:lnTo>
                <a:pt x="0" y="27"/>
              </a:lnTo>
              <a:lnTo>
                <a:pt x="40" y="0"/>
              </a:lnTo>
              <a:lnTo>
                <a:pt x="52" y="1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304800</xdr:colOff>
      <xdr:row>26</xdr:row>
      <xdr:rowOff>28575</xdr:rowOff>
    </xdr:from>
    <xdr:to>
      <xdr:col>20</xdr:col>
      <xdr:colOff>590550</xdr:colOff>
      <xdr:row>27</xdr:row>
      <xdr:rowOff>85725</xdr:rowOff>
    </xdr:to>
    <xdr:sp macro="" textlink="">
      <xdr:nvSpPr>
        <xdr:cNvPr id="26" name="Line 42">
          <a:extLst>
            <a:ext uri="{FF2B5EF4-FFF2-40B4-BE49-F238E27FC236}">
              <a16:creationId xmlns:a16="http://schemas.microsoft.com/office/drawing/2014/main" id="{54393C39-91FD-485E-9ABF-6E5485F09728}"/>
            </a:ext>
          </a:extLst>
        </xdr:cNvPr>
        <xdr:cNvSpPr>
          <a:spLocks noChangeShapeType="1"/>
        </xdr:cNvSpPr>
      </xdr:nvSpPr>
      <xdr:spPr bwMode="auto">
        <a:xfrm flipH="1" flipV="1">
          <a:off x="8832850" y="4391025"/>
          <a:ext cx="285750" cy="222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291465</xdr:colOff>
      <xdr:row>16</xdr:row>
      <xdr:rowOff>0</xdr:rowOff>
    </xdr:from>
    <xdr:to>
      <xdr:col>5</xdr:col>
      <xdr:colOff>93661</xdr:colOff>
      <xdr:row>21</xdr:row>
      <xdr:rowOff>152400</xdr:rowOff>
    </xdr:to>
    <xdr:sp macro="" textlink="">
      <xdr:nvSpPr>
        <xdr:cNvPr id="27" name="Oval 43">
          <a:extLst>
            <a:ext uri="{FF2B5EF4-FFF2-40B4-BE49-F238E27FC236}">
              <a16:creationId xmlns:a16="http://schemas.microsoft.com/office/drawing/2014/main" id="{21E7E3CC-84FD-45B4-9EBF-1C9599C9B0A4}"/>
            </a:ext>
          </a:extLst>
        </xdr:cNvPr>
        <xdr:cNvSpPr>
          <a:spLocks noChangeArrowheads="1"/>
        </xdr:cNvSpPr>
      </xdr:nvSpPr>
      <xdr:spPr bwMode="auto">
        <a:xfrm>
          <a:off x="2037715" y="2705100"/>
          <a:ext cx="265746" cy="9779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発艇</a:t>
          </a:r>
        </a:p>
      </xdr:txBody>
    </xdr:sp>
    <xdr:clientData/>
  </xdr:twoCellAnchor>
  <xdr:twoCellAnchor>
    <xdr:from>
      <xdr:col>2</xdr:col>
      <xdr:colOff>38100</xdr:colOff>
      <xdr:row>13</xdr:row>
      <xdr:rowOff>123825</xdr:rowOff>
    </xdr:from>
    <xdr:to>
      <xdr:col>2</xdr:col>
      <xdr:colOff>400050</xdr:colOff>
      <xdr:row>20</xdr:row>
      <xdr:rowOff>133350</xdr:rowOff>
    </xdr:to>
    <xdr:sp macro="" textlink="">
      <xdr:nvSpPr>
        <xdr:cNvPr id="28" name="AutoShape 44">
          <a:extLst>
            <a:ext uri="{FF2B5EF4-FFF2-40B4-BE49-F238E27FC236}">
              <a16:creationId xmlns:a16="http://schemas.microsoft.com/office/drawing/2014/main" id="{DAC50576-2376-4B2C-B826-AD24CBC45380}"/>
            </a:ext>
          </a:extLst>
        </xdr:cNvPr>
        <xdr:cNvSpPr>
          <a:spLocks noChangeArrowheads="1"/>
        </xdr:cNvSpPr>
      </xdr:nvSpPr>
      <xdr:spPr bwMode="auto">
        <a:xfrm>
          <a:off x="857250" y="2327275"/>
          <a:ext cx="361950" cy="1171575"/>
        </a:xfrm>
        <a:prstGeom prst="curvedRightArrow">
          <a:avLst>
            <a:gd name="adj1" fmla="val 67368"/>
            <a:gd name="adj2" fmla="val 134737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7</xdr:row>
      <xdr:rowOff>104775</xdr:rowOff>
    </xdr:from>
    <xdr:to>
      <xdr:col>17</xdr:col>
      <xdr:colOff>304800</xdr:colOff>
      <xdr:row>12</xdr:row>
      <xdr:rowOff>161925</xdr:rowOff>
    </xdr:to>
    <xdr:sp macro="" textlink="">
      <xdr:nvSpPr>
        <xdr:cNvPr id="29" name="AutoShape 45">
          <a:extLst>
            <a:ext uri="{FF2B5EF4-FFF2-40B4-BE49-F238E27FC236}">
              <a16:creationId xmlns:a16="http://schemas.microsoft.com/office/drawing/2014/main" id="{F68C3511-194B-43C5-A7C3-86A01C1C37BD}"/>
            </a:ext>
          </a:extLst>
        </xdr:cNvPr>
        <xdr:cNvSpPr>
          <a:spLocks noChangeArrowheads="1"/>
        </xdr:cNvSpPr>
      </xdr:nvSpPr>
      <xdr:spPr bwMode="auto">
        <a:xfrm>
          <a:off x="7261225" y="1266825"/>
          <a:ext cx="257175" cy="933450"/>
        </a:xfrm>
        <a:prstGeom prst="curvedLeftArrow">
          <a:avLst>
            <a:gd name="adj1" fmla="val 85926"/>
            <a:gd name="adj2" fmla="val 171852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1905</xdr:colOff>
      <xdr:row>8</xdr:row>
      <xdr:rowOff>76200</xdr:rowOff>
    </xdr:from>
    <xdr:to>
      <xdr:col>13</xdr:col>
      <xdr:colOff>0</xdr:colOff>
      <xdr:row>12</xdr:row>
      <xdr:rowOff>87665</xdr:rowOff>
    </xdr:to>
    <xdr:sp macro="" textlink="">
      <xdr:nvSpPr>
        <xdr:cNvPr id="30" name="AutoShape 46">
          <a:extLst>
            <a:ext uri="{FF2B5EF4-FFF2-40B4-BE49-F238E27FC236}">
              <a16:creationId xmlns:a16="http://schemas.microsoft.com/office/drawing/2014/main" id="{51AB10AC-1CE3-4B54-842A-BFC3A5E11F57}"/>
            </a:ext>
          </a:extLst>
        </xdr:cNvPr>
        <xdr:cNvSpPr>
          <a:spLocks noChangeArrowheads="1"/>
        </xdr:cNvSpPr>
      </xdr:nvSpPr>
      <xdr:spPr bwMode="auto">
        <a:xfrm rot="-5400000">
          <a:off x="4824395" y="1159210"/>
          <a:ext cx="671865" cy="1261745"/>
        </a:xfrm>
        <a:custGeom>
          <a:avLst/>
          <a:gdLst>
            <a:gd name="T0" fmla="*/ 9250 w 21600"/>
            <a:gd name="T1" fmla="*/ 0 h 21600"/>
            <a:gd name="T2" fmla="*/ 3055 w 21600"/>
            <a:gd name="T3" fmla="*/ 21600 h 21600"/>
            <a:gd name="T4" fmla="*/ 9725 w 21600"/>
            <a:gd name="T5" fmla="*/ 8310 h 21600"/>
            <a:gd name="T6" fmla="*/ 15662 w 21600"/>
            <a:gd name="T7" fmla="*/ 14285 h 21600"/>
            <a:gd name="T8" fmla="*/ 21600 w 21600"/>
            <a:gd name="T9" fmla="*/ 8310 h 21600"/>
            <a:gd name="T10" fmla="*/ 17694720 60000 65536"/>
            <a:gd name="T11" fmla="*/ 5898240 60000 65536"/>
            <a:gd name="T12" fmla="*/ 5898240 60000 65536"/>
            <a:gd name="T13" fmla="*/ 5898240 60000 65536"/>
            <a:gd name="T14" fmla="*/ 0 60000 65536"/>
            <a:gd name="T15" fmla="*/ 0 w 21600"/>
            <a:gd name="T16" fmla="*/ 8310 h 21600"/>
            <a:gd name="T17" fmla="*/ 6110 w 21600"/>
            <a:gd name="T18" fmla="*/ 21600 h 2160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1600" h="21600">
              <a:moveTo>
                <a:pt x="15662" y="14285"/>
              </a:moveTo>
              <a:lnTo>
                <a:pt x="21600" y="8310"/>
              </a:lnTo>
              <a:lnTo>
                <a:pt x="18630" y="8310"/>
              </a:lnTo>
              <a:cubicBezTo>
                <a:pt x="18630" y="3721"/>
                <a:pt x="14430" y="0"/>
                <a:pt x="9250" y="0"/>
              </a:cubicBezTo>
              <a:cubicBezTo>
                <a:pt x="4141" y="0"/>
                <a:pt x="0" y="3799"/>
                <a:pt x="0" y="8485"/>
              </a:cubicBezTo>
              <a:lnTo>
                <a:pt x="0" y="21600"/>
              </a:lnTo>
              <a:lnTo>
                <a:pt x="6110" y="21600"/>
              </a:lnTo>
              <a:lnTo>
                <a:pt x="6110" y="8310"/>
              </a:lnTo>
              <a:cubicBezTo>
                <a:pt x="6110" y="6947"/>
                <a:pt x="7362" y="5842"/>
                <a:pt x="8907" y="5842"/>
              </a:cubicBezTo>
              <a:lnTo>
                <a:pt x="9725" y="5842"/>
              </a:lnTo>
              <a:cubicBezTo>
                <a:pt x="11269" y="5842"/>
                <a:pt x="12520" y="6947"/>
                <a:pt x="12520" y="8310"/>
              </a:cubicBezTo>
              <a:lnTo>
                <a:pt x="9725" y="831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練習水域へ</a:t>
          </a:r>
        </a:p>
      </xdr:txBody>
    </xdr:sp>
    <xdr:clientData/>
  </xdr:twoCellAnchor>
  <xdr:twoCellAnchor>
    <xdr:from>
      <xdr:col>6</xdr:col>
      <xdr:colOff>365760</xdr:colOff>
      <xdr:row>8</xdr:row>
      <xdr:rowOff>114300</xdr:rowOff>
    </xdr:from>
    <xdr:to>
      <xdr:col>8</xdr:col>
      <xdr:colOff>90226</xdr:colOff>
      <xdr:row>10</xdr:row>
      <xdr:rowOff>114300</xdr:rowOff>
    </xdr:to>
    <xdr:sp macro="" textlink="">
      <xdr:nvSpPr>
        <xdr:cNvPr id="31" name="AutoShape 47">
          <a:extLst>
            <a:ext uri="{FF2B5EF4-FFF2-40B4-BE49-F238E27FC236}">
              <a16:creationId xmlns:a16="http://schemas.microsoft.com/office/drawing/2014/main" id="{E3AF0C70-2BE4-4B01-98A6-40CF31E7366B}"/>
            </a:ext>
          </a:extLst>
        </xdr:cNvPr>
        <xdr:cNvSpPr>
          <a:spLocks noChangeArrowheads="1"/>
        </xdr:cNvSpPr>
      </xdr:nvSpPr>
      <xdr:spPr bwMode="auto">
        <a:xfrm>
          <a:off x="3039110" y="1492250"/>
          <a:ext cx="651566" cy="330200"/>
        </a:xfrm>
        <a:prstGeom prst="wedgeEllipseCallout">
          <a:avLst>
            <a:gd name="adj1" fmla="val -41935"/>
            <a:gd name="adj2" fmla="val 934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赤ブイ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241935</xdr:colOff>
      <xdr:row>15</xdr:row>
      <xdr:rowOff>47625</xdr:rowOff>
    </xdr:from>
    <xdr:to>
      <xdr:col>20</xdr:col>
      <xdr:colOff>10249</xdr:colOff>
      <xdr:row>19</xdr:row>
      <xdr:rowOff>108720</xdr:rowOff>
    </xdr:to>
    <xdr:sp macro="" textlink="">
      <xdr:nvSpPr>
        <xdr:cNvPr id="32" name="AutoShape 54">
          <a:extLst>
            <a:ext uri="{FF2B5EF4-FFF2-40B4-BE49-F238E27FC236}">
              <a16:creationId xmlns:a16="http://schemas.microsoft.com/office/drawing/2014/main" id="{2D4FD7AB-37BB-4CB8-BDD8-895641031C6F}"/>
            </a:ext>
          </a:extLst>
        </xdr:cNvPr>
        <xdr:cNvSpPr>
          <a:spLocks noChangeArrowheads="1"/>
        </xdr:cNvSpPr>
      </xdr:nvSpPr>
      <xdr:spPr bwMode="auto">
        <a:xfrm>
          <a:off x="7811135" y="2587625"/>
          <a:ext cx="727164" cy="721495"/>
        </a:xfrm>
        <a:prstGeom prst="wedgeRoundRectCallout">
          <a:avLst>
            <a:gd name="adj1" fmla="val -44185"/>
            <a:gd name="adj2" fmla="val 6538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ゴール後の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ｸｰﾙﾀﾞｳﾝ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禁止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速やかに桟橋へ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533400</xdr:colOff>
      <xdr:row>7</xdr:row>
      <xdr:rowOff>9524</xdr:rowOff>
    </xdr:from>
    <xdr:to>
      <xdr:col>20</xdr:col>
      <xdr:colOff>542925</xdr:colOff>
      <xdr:row>13</xdr:row>
      <xdr:rowOff>133349</xdr:rowOff>
    </xdr:to>
    <xdr:sp macro="" textlink="">
      <xdr:nvSpPr>
        <xdr:cNvPr id="33" name="Freeform 61">
          <a:extLst>
            <a:ext uri="{FF2B5EF4-FFF2-40B4-BE49-F238E27FC236}">
              <a16:creationId xmlns:a16="http://schemas.microsoft.com/office/drawing/2014/main" id="{F0CDB584-04FB-492B-AFCC-3F8F6C38083D}"/>
            </a:ext>
          </a:extLst>
        </xdr:cNvPr>
        <xdr:cNvSpPr>
          <a:spLocks/>
        </xdr:cNvSpPr>
      </xdr:nvSpPr>
      <xdr:spPr bwMode="auto">
        <a:xfrm>
          <a:off x="5041900" y="1171574"/>
          <a:ext cx="4029075" cy="1165225"/>
        </a:xfrm>
        <a:custGeom>
          <a:avLst/>
          <a:gdLst>
            <a:gd name="T0" fmla="*/ 0 w 467"/>
            <a:gd name="T1" fmla="*/ 0 h 136"/>
            <a:gd name="T2" fmla="*/ 2147483646 w 467"/>
            <a:gd name="T3" fmla="*/ 0 h 136"/>
            <a:gd name="T4" fmla="*/ 2147483646 w 467"/>
            <a:gd name="T5" fmla="*/ 2147483646 h 136"/>
            <a:gd name="T6" fmla="*/ 2147483646 w 467"/>
            <a:gd name="T7" fmla="*/ 2147483646 h 136"/>
            <a:gd name="T8" fmla="*/ 0 60000 65536"/>
            <a:gd name="T9" fmla="*/ 0 60000 65536"/>
            <a:gd name="T10" fmla="*/ 0 60000 65536"/>
            <a:gd name="T11" fmla="*/ 0 60000 65536"/>
            <a:gd name="T12" fmla="*/ 0 w 467"/>
            <a:gd name="T13" fmla="*/ 0 h 136"/>
            <a:gd name="T14" fmla="*/ 467 w 467"/>
            <a:gd name="T15" fmla="*/ 136 h 1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67" h="136">
              <a:moveTo>
                <a:pt x="0" y="0"/>
              </a:moveTo>
              <a:lnTo>
                <a:pt x="408" y="0"/>
              </a:lnTo>
              <a:lnTo>
                <a:pt x="453" y="60"/>
              </a:lnTo>
              <a:lnTo>
                <a:pt x="467" y="13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200025</xdr:colOff>
      <xdr:row>12</xdr:row>
      <xdr:rowOff>76200</xdr:rowOff>
    </xdr:from>
    <xdr:to>
      <xdr:col>4</xdr:col>
      <xdr:colOff>333375</xdr:colOff>
      <xdr:row>12</xdr:row>
      <xdr:rowOff>104775</xdr:rowOff>
    </xdr:to>
    <xdr:sp macro="" textlink="">
      <xdr:nvSpPr>
        <xdr:cNvPr id="34" name="Line 21">
          <a:extLst>
            <a:ext uri="{FF2B5EF4-FFF2-40B4-BE49-F238E27FC236}">
              <a16:creationId xmlns:a16="http://schemas.microsoft.com/office/drawing/2014/main" id="{96E620EB-2AE2-4DC3-BF0D-4764AD22C7C1}"/>
            </a:ext>
          </a:extLst>
        </xdr:cNvPr>
        <xdr:cNvSpPr>
          <a:spLocks noChangeShapeType="1"/>
        </xdr:cNvSpPr>
      </xdr:nvSpPr>
      <xdr:spPr bwMode="auto">
        <a:xfrm>
          <a:off x="1482725" y="2114550"/>
          <a:ext cx="596900" cy="28575"/>
        </a:xfrm>
        <a:custGeom>
          <a:avLst/>
          <a:gdLst>
            <a:gd name="T0" fmla="*/ 2147483646 w 53"/>
            <a:gd name="T1" fmla="*/ 0 h 1"/>
            <a:gd name="T2" fmla="*/ 0 w 53"/>
            <a:gd name="T3" fmla="*/ 0 h 1"/>
            <a:gd name="T4" fmla="*/ 0 60000 65536"/>
            <a:gd name="T5" fmla="*/ 0 60000 65536"/>
            <a:gd name="T6" fmla="*/ 0 w 53"/>
            <a:gd name="T7" fmla="*/ 0 h 1"/>
            <a:gd name="T8" fmla="*/ 53 w 5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53" h="1">
              <a:moveTo>
                <a:pt x="53" y="0"/>
              </a:moveTo>
              <a:lnTo>
                <a:pt x="0" y="0"/>
              </a:lnTo>
            </a:path>
          </a:pathLst>
        </a:cu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266700</xdr:colOff>
      <xdr:row>18</xdr:row>
      <xdr:rowOff>38100</xdr:rowOff>
    </xdr:from>
    <xdr:to>
      <xdr:col>5</xdr:col>
      <xdr:colOff>409575</xdr:colOff>
      <xdr:row>18</xdr:row>
      <xdr:rowOff>114300</xdr:rowOff>
    </xdr:to>
    <xdr:sp macro="" textlink="">
      <xdr:nvSpPr>
        <xdr:cNvPr id="35" name="Oval 67">
          <a:extLst>
            <a:ext uri="{FF2B5EF4-FFF2-40B4-BE49-F238E27FC236}">
              <a16:creationId xmlns:a16="http://schemas.microsoft.com/office/drawing/2014/main" id="{1CB350C9-C2E7-4E2E-89B1-1656972E7C00}"/>
            </a:ext>
          </a:extLst>
        </xdr:cNvPr>
        <xdr:cNvSpPr>
          <a:spLocks noChangeArrowheads="1"/>
        </xdr:cNvSpPr>
      </xdr:nvSpPr>
      <xdr:spPr bwMode="auto">
        <a:xfrm>
          <a:off x="2476500" y="3073400"/>
          <a:ext cx="142875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19</xdr:row>
      <xdr:rowOff>38100</xdr:rowOff>
    </xdr:from>
    <xdr:to>
      <xdr:col>5</xdr:col>
      <xdr:colOff>409575</xdr:colOff>
      <xdr:row>19</xdr:row>
      <xdr:rowOff>114300</xdr:rowOff>
    </xdr:to>
    <xdr:sp macro="" textlink="">
      <xdr:nvSpPr>
        <xdr:cNvPr id="36" name="Oval 68">
          <a:extLst>
            <a:ext uri="{FF2B5EF4-FFF2-40B4-BE49-F238E27FC236}">
              <a16:creationId xmlns:a16="http://schemas.microsoft.com/office/drawing/2014/main" id="{0AF13A82-0478-4333-8825-AF5D60421E1D}"/>
            </a:ext>
          </a:extLst>
        </xdr:cNvPr>
        <xdr:cNvSpPr>
          <a:spLocks noChangeArrowheads="1"/>
        </xdr:cNvSpPr>
      </xdr:nvSpPr>
      <xdr:spPr bwMode="auto">
        <a:xfrm>
          <a:off x="2476500" y="3238500"/>
          <a:ext cx="142875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20</xdr:row>
      <xdr:rowOff>38100</xdr:rowOff>
    </xdr:from>
    <xdr:to>
      <xdr:col>5</xdr:col>
      <xdr:colOff>409575</xdr:colOff>
      <xdr:row>20</xdr:row>
      <xdr:rowOff>114300</xdr:rowOff>
    </xdr:to>
    <xdr:sp macro="" textlink="">
      <xdr:nvSpPr>
        <xdr:cNvPr id="37" name="Oval 69">
          <a:extLst>
            <a:ext uri="{FF2B5EF4-FFF2-40B4-BE49-F238E27FC236}">
              <a16:creationId xmlns:a16="http://schemas.microsoft.com/office/drawing/2014/main" id="{E7EFB5FB-DC74-4493-9FFE-85AE11B0B2AD}"/>
            </a:ext>
          </a:extLst>
        </xdr:cNvPr>
        <xdr:cNvSpPr>
          <a:spLocks noChangeArrowheads="1"/>
        </xdr:cNvSpPr>
      </xdr:nvSpPr>
      <xdr:spPr bwMode="auto">
        <a:xfrm>
          <a:off x="2476500" y="3403600"/>
          <a:ext cx="142875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21</xdr:row>
      <xdr:rowOff>47625</xdr:rowOff>
    </xdr:from>
    <xdr:to>
      <xdr:col>5</xdr:col>
      <xdr:colOff>409575</xdr:colOff>
      <xdr:row>21</xdr:row>
      <xdr:rowOff>123825</xdr:rowOff>
    </xdr:to>
    <xdr:sp macro="" textlink="">
      <xdr:nvSpPr>
        <xdr:cNvPr id="38" name="Oval 70">
          <a:extLst>
            <a:ext uri="{FF2B5EF4-FFF2-40B4-BE49-F238E27FC236}">
              <a16:creationId xmlns:a16="http://schemas.microsoft.com/office/drawing/2014/main" id="{9CD40626-1C3E-416D-A2FA-E903B51B7DC2}"/>
            </a:ext>
          </a:extLst>
        </xdr:cNvPr>
        <xdr:cNvSpPr>
          <a:spLocks noChangeArrowheads="1"/>
        </xdr:cNvSpPr>
      </xdr:nvSpPr>
      <xdr:spPr bwMode="auto">
        <a:xfrm>
          <a:off x="2476500" y="3578225"/>
          <a:ext cx="142875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91440</xdr:colOff>
      <xdr:row>15</xdr:row>
      <xdr:rowOff>66675</xdr:rowOff>
    </xdr:from>
    <xdr:to>
      <xdr:col>4</xdr:col>
      <xdr:colOff>9472</xdr:colOff>
      <xdr:row>22</xdr:row>
      <xdr:rowOff>114300</xdr:rowOff>
    </xdr:to>
    <xdr:sp macro="" textlink="">
      <xdr:nvSpPr>
        <xdr:cNvPr id="39" name="Rectangle 83">
          <a:extLst>
            <a:ext uri="{FF2B5EF4-FFF2-40B4-BE49-F238E27FC236}">
              <a16:creationId xmlns:a16="http://schemas.microsoft.com/office/drawing/2014/main" id="{ECB3E494-37FD-4C18-8503-7550E7E32209}"/>
            </a:ext>
          </a:extLst>
        </xdr:cNvPr>
        <xdr:cNvSpPr>
          <a:spLocks noChangeArrowheads="1"/>
        </xdr:cNvSpPr>
      </xdr:nvSpPr>
      <xdr:spPr bwMode="auto">
        <a:xfrm>
          <a:off x="1374140" y="2606675"/>
          <a:ext cx="381582" cy="1203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発艇員の声が聞こえる所に待機</a:t>
          </a:r>
        </a:p>
      </xdr:txBody>
    </xdr:sp>
    <xdr:clientData/>
  </xdr:twoCellAnchor>
  <xdr:twoCellAnchor>
    <xdr:from>
      <xdr:col>5</xdr:col>
      <xdr:colOff>266700</xdr:colOff>
      <xdr:row>17</xdr:row>
      <xdr:rowOff>47625</xdr:rowOff>
    </xdr:from>
    <xdr:to>
      <xdr:col>5</xdr:col>
      <xdr:colOff>409575</xdr:colOff>
      <xdr:row>17</xdr:row>
      <xdr:rowOff>123825</xdr:rowOff>
    </xdr:to>
    <xdr:sp macro="" textlink="">
      <xdr:nvSpPr>
        <xdr:cNvPr id="40" name="Oval 67">
          <a:extLst>
            <a:ext uri="{FF2B5EF4-FFF2-40B4-BE49-F238E27FC236}">
              <a16:creationId xmlns:a16="http://schemas.microsoft.com/office/drawing/2014/main" id="{B81EB536-16E5-4818-BCB8-C32169119979}"/>
            </a:ext>
          </a:extLst>
        </xdr:cNvPr>
        <xdr:cNvSpPr>
          <a:spLocks noChangeArrowheads="1"/>
        </xdr:cNvSpPr>
      </xdr:nvSpPr>
      <xdr:spPr bwMode="auto">
        <a:xfrm>
          <a:off x="2476500" y="2917825"/>
          <a:ext cx="142875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16</xdr:row>
      <xdr:rowOff>47625</xdr:rowOff>
    </xdr:from>
    <xdr:to>
      <xdr:col>5</xdr:col>
      <xdr:colOff>409575</xdr:colOff>
      <xdr:row>16</xdr:row>
      <xdr:rowOff>123825</xdr:rowOff>
    </xdr:to>
    <xdr:sp macro="" textlink="">
      <xdr:nvSpPr>
        <xdr:cNvPr id="41" name="Oval 67">
          <a:extLst>
            <a:ext uri="{FF2B5EF4-FFF2-40B4-BE49-F238E27FC236}">
              <a16:creationId xmlns:a16="http://schemas.microsoft.com/office/drawing/2014/main" id="{AA8F72BF-F8BA-4FBE-B5B1-ED97116AB487}"/>
            </a:ext>
          </a:extLst>
        </xdr:cNvPr>
        <xdr:cNvSpPr>
          <a:spLocks noChangeArrowheads="1"/>
        </xdr:cNvSpPr>
      </xdr:nvSpPr>
      <xdr:spPr bwMode="auto">
        <a:xfrm>
          <a:off x="2476500" y="2752725"/>
          <a:ext cx="142875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489585</xdr:colOff>
      <xdr:row>17</xdr:row>
      <xdr:rowOff>28575</xdr:rowOff>
    </xdr:from>
    <xdr:to>
      <xdr:col>14</xdr:col>
      <xdr:colOff>121854</xdr:colOff>
      <xdr:row>20</xdr:row>
      <xdr:rowOff>123825</xdr:rowOff>
    </xdr:to>
    <xdr:sp macro="" textlink="">
      <xdr:nvSpPr>
        <xdr:cNvPr id="42" name="ストライプ矢印 43">
          <a:extLst>
            <a:ext uri="{FF2B5EF4-FFF2-40B4-BE49-F238E27FC236}">
              <a16:creationId xmlns:a16="http://schemas.microsoft.com/office/drawing/2014/main" id="{AD354778-C6BC-4D97-9911-115BDBEA0602}"/>
            </a:ext>
          </a:extLst>
        </xdr:cNvPr>
        <xdr:cNvSpPr/>
      </xdr:nvSpPr>
      <xdr:spPr bwMode="auto">
        <a:xfrm>
          <a:off x="4064635" y="2898775"/>
          <a:ext cx="2204019" cy="590550"/>
        </a:xfrm>
        <a:prstGeom prst="striped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コース内順行のみ</a:t>
          </a:r>
        </a:p>
      </xdr:txBody>
    </xdr:sp>
    <xdr:clientData/>
  </xdr:twoCellAnchor>
  <xdr:twoCellAnchor>
    <xdr:from>
      <xdr:col>2</xdr:col>
      <xdr:colOff>38100</xdr:colOff>
      <xdr:row>1</xdr:row>
      <xdr:rowOff>83820</xdr:rowOff>
    </xdr:from>
    <xdr:to>
      <xdr:col>9</xdr:col>
      <xdr:colOff>279400</xdr:colOff>
      <xdr:row>5</xdr:row>
      <xdr:rowOff>124042</xdr:rowOff>
    </xdr:to>
    <xdr:sp macro="" textlink="">
      <xdr:nvSpPr>
        <xdr:cNvPr id="43" name="Text Box 41">
          <a:extLst>
            <a:ext uri="{FF2B5EF4-FFF2-40B4-BE49-F238E27FC236}">
              <a16:creationId xmlns:a16="http://schemas.microsoft.com/office/drawing/2014/main" id="{923D730C-13F2-40E9-AEF6-AD13CCEF7257}"/>
            </a:ext>
          </a:extLst>
        </xdr:cNvPr>
        <xdr:cNvSpPr txBox="1">
          <a:spLocks noChangeArrowheads="1"/>
        </xdr:cNvSpPr>
      </xdr:nvSpPr>
      <xdr:spPr bwMode="auto">
        <a:xfrm>
          <a:off x="857250" y="248920"/>
          <a:ext cx="3486150" cy="700622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航行ルール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レース時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日（土）　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から　レース終了　まで　　</a:t>
          </a:r>
        </a:p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５月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日（日）　８：００　から　レース終了　まで</a:t>
          </a:r>
        </a:p>
      </xdr:txBody>
    </xdr:sp>
    <xdr:clientData/>
  </xdr:twoCellAnchor>
  <xdr:twoCellAnchor>
    <xdr:from>
      <xdr:col>20</xdr:col>
      <xdr:colOff>266700</xdr:colOff>
      <xdr:row>19</xdr:row>
      <xdr:rowOff>85725</xdr:rowOff>
    </xdr:from>
    <xdr:to>
      <xdr:col>20</xdr:col>
      <xdr:colOff>338700</xdr:colOff>
      <xdr:row>19</xdr:row>
      <xdr:rowOff>157725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36059B1A-FBC2-4E1A-8BC7-7AEABDA9CE24}"/>
            </a:ext>
          </a:extLst>
        </xdr:cNvPr>
        <xdr:cNvSpPr/>
      </xdr:nvSpPr>
      <xdr:spPr>
        <a:xfrm>
          <a:off x="8794750" y="3286125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285750</xdr:colOff>
      <xdr:row>15</xdr:row>
      <xdr:rowOff>57150</xdr:rowOff>
    </xdr:from>
    <xdr:to>
      <xdr:col>20</xdr:col>
      <xdr:colOff>357750</xdr:colOff>
      <xdr:row>15</xdr:row>
      <xdr:rowOff>129150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73FE3179-A71E-4C3D-8625-FD42417B4BA1}"/>
            </a:ext>
          </a:extLst>
        </xdr:cNvPr>
        <xdr:cNvSpPr/>
      </xdr:nvSpPr>
      <xdr:spPr>
        <a:xfrm>
          <a:off x="8813800" y="2597150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285750</xdr:colOff>
      <xdr:row>16</xdr:row>
      <xdr:rowOff>76200</xdr:rowOff>
    </xdr:from>
    <xdr:to>
      <xdr:col>20</xdr:col>
      <xdr:colOff>357750</xdr:colOff>
      <xdr:row>16</xdr:row>
      <xdr:rowOff>148200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33943902-20AB-4BC2-A29E-96A3C2B7B510}"/>
            </a:ext>
          </a:extLst>
        </xdr:cNvPr>
        <xdr:cNvSpPr/>
      </xdr:nvSpPr>
      <xdr:spPr>
        <a:xfrm>
          <a:off x="8813800" y="2781300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285750</xdr:colOff>
      <xdr:row>17</xdr:row>
      <xdr:rowOff>57150</xdr:rowOff>
    </xdr:from>
    <xdr:to>
      <xdr:col>20</xdr:col>
      <xdr:colOff>357750</xdr:colOff>
      <xdr:row>17</xdr:row>
      <xdr:rowOff>129150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AC698671-B0B4-43B6-BEE1-1FB996E9470D}"/>
            </a:ext>
          </a:extLst>
        </xdr:cNvPr>
        <xdr:cNvSpPr/>
      </xdr:nvSpPr>
      <xdr:spPr>
        <a:xfrm>
          <a:off x="8813800" y="2927350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428625</xdr:colOff>
      <xdr:row>17</xdr:row>
      <xdr:rowOff>47625</xdr:rowOff>
    </xdr:from>
    <xdr:to>
      <xdr:col>20</xdr:col>
      <xdr:colOff>500625</xdr:colOff>
      <xdr:row>17</xdr:row>
      <xdr:rowOff>119625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B0EB1588-9FAA-497D-83D2-C68BAF5447BC}"/>
            </a:ext>
          </a:extLst>
        </xdr:cNvPr>
        <xdr:cNvSpPr/>
      </xdr:nvSpPr>
      <xdr:spPr>
        <a:xfrm>
          <a:off x="8956675" y="2917825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428625</xdr:colOff>
      <xdr:row>16</xdr:row>
      <xdr:rowOff>47625</xdr:rowOff>
    </xdr:from>
    <xdr:to>
      <xdr:col>20</xdr:col>
      <xdr:colOff>500625</xdr:colOff>
      <xdr:row>16</xdr:row>
      <xdr:rowOff>119625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D7710686-E3A7-42C3-888B-E8071FECAEEA}"/>
            </a:ext>
          </a:extLst>
        </xdr:cNvPr>
        <xdr:cNvSpPr/>
      </xdr:nvSpPr>
      <xdr:spPr>
        <a:xfrm>
          <a:off x="8956675" y="2752725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419100</xdr:colOff>
      <xdr:row>15</xdr:row>
      <xdr:rowOff>57150</xdr:rowOff>
    </xdr:from>
    <xdr:to>
      <xdr:col>20</xdr:col>
      <xdr:colOff>491100</xdr:colOff>
      <xdr:row>15</xdr:row>
      <xdr:rowOff>129150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3665C10A-5FB8-4BAE-A422-02452C3E224A}"/>
            </a:ext>
          </a:extLst>
        </xdr:cNvPr>
        <xdr:cNvSpPr/>
      </xdr:nvSpPr>
      <xdr:spPr>
        <a:xfrm>
          <a:off x="8947150" y="2597150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400050</xdr:colOff>
      <xdr:row>19</xdr:row>
      <xdr:rowOff>57150</xdr:rowOff>
    </xdr:from>
    <xdr:to>
      <xdr:col>20</xdr:col>
      <xdr:colOff>472050</xdr:colOff>
      <xdr:row>19</xdr:row>
      <xdr:rowOff>129150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65E99B53-7EEB-4F91-8B73-B677EF693E74}"/>
            </a:ext>
          </a:extLst>
        </xdr:cNvPr>
        <xdr:cNvSpPr/>
      </xdr:nvSpPr>
      <xdr:spPr>
        <a:xfrm>
          <a:off x="8928100" y="3257550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419100</xdr:colOff>
      <xdr:row>18</xdr:row>
      <xdr:rowOff>57150</xdr:rowOff>
    </xdr:from>
    <xdr:to>
      <xdr:col>20</xdr:col>
      <xdr:colOff>491100</xdr:colOff>
      <xdr:row>18</xdr:row>
      <xdr:rowOff>129150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9F4EA768-B724-4FD0-87C7-071B3D103B06}"/>
            </a:ext>
          </a:extLst>
        </xdr:cNvPr>
        <xdr:cNvSpPr/>
      </xdr:nvSpPr>
      <xdr:spPr>
        <a:xfrm>
          <a:off x="8947150" y="3092450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285750</xdr:colOff>
      <xdr:row>18</xdr:row>
      <xdr:rowOff>66675</xdr:rowOff>
    </xdr:from>
    <xdr:to>
      <xdr:col>20</xdr:col>
      <xdr:colOff>357750</xdr:colOff>
      <xdr:row>18</xdr:row>
      <xdr:rowOff>138675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3D690E98-A259-46ED-8E29-D89077421BCD}"/>
            </a:ext>
          </a:extLst>
        </xdr:cNvPr>
        <xdr:cNvSpPr/>
      </xdr:nvSpPr>
      <xdr:spPr>
        <a:xfrm>
          <a:off x="8813800" y="3101975"/>
          <a:ext cx="72000" cy="72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352425</xdr:colOff>
      <xdr:row>1</xdr:row>
      <xdr:rowOff>142875</xdr:rowOff>
    </xdr:from>
    <xdr:to>
      <xdr:col>21</xdr:col>
      <xdr:colOff>297057</xdr:colOff>
      <xdr:row>11</xdr:row>
      <xdr:rowOff>9525</xdr:rowOff>
    </xdr:to>
    <xdr:sp macro="" textlink="">
      <xdr:nvSpPr>
        <xdr:cNvPr id="54" name="AutoShape 33">
          <a:extLst>
            <a:ext uri="{FF2B5EF4-FFF2-40B4-BE49-F238E27FC236}">
              <a16:creationId xmlns:a16="http://schemas.microsoft.com/office/drawing/2014/main" id="{70E8C51A-EC09-4543-9A85-6BF67D2EC4FB}"/>
            </a:ext>
          </a:extLst>
        </xdr:cNvPr>
        <xdr:cNvSpPr>
          <a:spLocks noChangeArrowheads="1"/>
        </xdr:cNvSpPr>
      </xdr:nvSpPr>
      <xdr:spPr bwMode="auto">
        <a:xfrm>
          <a:off x="8880475" y="307975"/>
          <a:ext cx="547882" cy="1574800"/>
        </a:xfrm>
        <a:prstGeom prst="wedgeRectCallout">
          <a:avLst>
            <a:gd name="adj1" fmla="val -41862"/>
            <a:gd name="adj2" fmla="val 8547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18288" rIns="0" bIns="0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個続きの赤ブイには</a:t>
          </a:r>
          <a:endParaRPr lang="en-US" altLang="ja-JP" sz="9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ウインチがついており</a:t>
          </a:r>
          <a:endParaRPr lang="en-US" altLang="ja-JP" sz="9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危険なので近寄らない</a:t>
          </a:r>
          <a:endParaRPr lang="en-US" altLang="ja-JP" sz="9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0.155.60.102\&#39640;&#20307;&#36899;\&#12503;&#12525;&#12464;&#12521;&#12512;\28&#24180;\file:\Fmv-3\d\&#27827;&#21475;&#12508;&#12540;&#12488;\&#12503;&#12525;&#12464;&#12521;&#12512;&#12486;&#1247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登録"/>
      <sheetName val="選手名簿"/>
      <sheetName val="組合せ"/>
      <sheetName val="Sheet2"/>
      <sheetName val="Sheet3"/>
    </sheetNames>
    <sheetDataSet>
      <sheetData sheetId="0" refreshError="1">
        <row r="3">
          <cell r="A3" t="str">
            <v>Ｎｏ</v>
          </cell>
          <cell r="B3" t="str">
            <v>クルー名</v>
          </cell>
          <cell r="C3" t="str">
            <v>シート</v>
          </cell>
          <cell r="D3" t="str">
            <v>選手名</v>
          </cell>
          <cell r="E3" t="str">
            <v>前</v>
          </cell>
          <cell r="F3" t="str">
            <v>学年</v>
          </cell>
          <cell r="G3" t="str">
            <v>身長</v>
          </cell>
          <cell r="H3" t="str">
            <v>体重</v>
          </cell>
          <cell r="I3" t="str">
            <v>監督名</v>
          </cell>
        </row>
        <row r="4">
          <cell r="A4">
            <v>1</v>
          </cell>
          <cell r="B4" t="str">
            <v>沼津工業Ａ</v>
          </cell>
          <cell r="C4" t="str">
            <v>Ｓ</v>
          </cell>
          <cell r="D4" t="str">
            <v>長倉</v>
          </cell>
          <cell r="E4" t="str">
            <v>央弥</v>
          </cell>
          <cell r="F4">
            <v>2</v>
          </cell>
          <cell r="G4">
            <v>174</v>
          </cell>
          <cell r="H4">
            <v>65</v>
          </cell>
          <cell r="I4" t="str">
            <v>河口　義治</v>
          </cell>
        </row>
        <row r="5">
          <cell r="A5">
            <v>2</v>
          </cell>
          <cell r="B5" t="str">
            <v>沼津工業Ｂ</v>
          </cell>
          <cell r="C5" t="str">
            <v>Ｓ</v>
          </cell>
          <cell r="D5" t="str">
            <v>林</v>
          </cell>
          <cell r="E5" t="str">
            <v>正樹</v>
          </cell>
          <cell r="F5">
            <v>2</v>
          </cell>
          <cell r="G5">
            <v>170</v>
          </cell>
          <cell r="H5">
            <v>64</v>
          </cell>
          <cell r="I5" t="str">
            <v>田中　芳夫</v>
          </cell>
        </row>
        <row r="6">
          <cell r="A6">
            <v>3</v>
          </cell>
          <cell r="B6" t="str">
            <v>沼津工業Ｃ</v>
          </cell>
          <cell r="C6" t="str">
            <v>Ｓ</v>
          </cell>
          <cell r="D6" t="str">
            <v>向笠</v>
          </cell>
          <cell r="E6" t="str">
            <v>圭介</v>
          </cell>
          <cell r="F6">
            <v>2</v>
          </cell>
          <cell r="G6">
            <v>160</v>
          </cell>
          <cell r="H6">
            <v>68</v>
          </cell>
          <cell r="I6" t="str">
            <v>古郡　広将</v>
          </cell>
        </row>
        <row r="7">
          <cell r="A7">
            <v>4</v>
          </cell>
          <cell r="B7" t="str">
            <v>沼津工業Ｄ</v>
          </cell>
          <cell r="C7" t="str">
            <v>Ｓ</v>
          </cell>
          <cell r="D7" t="str">
            <v>原</v>
          </cell>
          <cell r="E7" t="str">
            <v>信二</v>
          </cell>
          <cell r="F7">
            <v>2</v>
          </cell>
          <cell r="G7">
            <v>170</v>
          </cell>
          <cell r="H7">
            <v>55</v>
          </cell>
          <cell r="I7" t="str">
            <v>田中　芳夫</v>
          </cell>
        </row>
        <row r="8">
          <cell r="A8">
            <v>5</v>
          </cell>
          <cell r="B8" t="str">
            <v>沼津工業Ｅ</v>
          </cell>
          <cell r="C8" t="str">
            <v>Ｓ</v>
          </cell>
          <cell r="D8" t="str">
            <v>稲木</v>
          </cell>
          <cell r="E8" t="str">
            <v>裕介</v>
          </cell>
          <cell r="F8">
            <v>2</v>
          </cell>
          <cell r="G8">
            <v>174</v>
          </cell>
          <cell r="H8">
            <v>64</v>
          </cell>
          <cell r="I8" t="str">
            <v>古郡　広将</v>
          </cell>
        </row>
        <row r="9">
          <cell r="A9">
            <v>6</v>
          </cell>
          <cell r="B9" t="str">
            <v>二俣Ａ</v>
          </cell>
          <cell r="C9" t="str">
            <v>Ｓ</v>
          </cell>
          <cell r="D9" t="str">
            <v>高橋</v>
          </cell>
          <cell r="E9" t="str">
            <v>直也</v>
          </cell>
          <cell r="F9">
            <v>3</v>
          </cell>
          <cell r="G9">
            <v>180</v>
          </cell>
          <cell r="H9">
            <v>80</v>
          </cell>
          <cell r="I9" t="str">
            <v>山崎　武敏</v>
          </cell>
        </row>
        <row r="10">
          <cell r="A10">
            <v>7</v>
          </cell>
          <cell r="B10" t="str">
            <v>二俣Ｂ</v>
          </cell>
          <cell r="C10" t="str">
            <v>Ｓ</v>
          </cell>
          <cell r="D10" t="str">
            <v>梶村</v>
          </cell>
        </row>
        <row r="11">
          <cell r="A11">
            <v>8</v>
          </cell>
          <cell r="B11" t="str">
            <v>新居Ａ</v>
          </cell>
          <cell r="C11" t="str">
            <v>Ｓ</v>
          </cell>
          <cell r="D11" t="str">
            <v>袴田</v>
          </cell>
        </row>
        <row r="12">
          <cell r="A12">
            <v>9</v>
          </cell>
          <cell r="B12" t="str">
            <v>新居Ｂ</v>
          </cell>
          <cell r="C12" t="str">
            <v>Ｓ</v>
          </cell>
          <cell r="D12" t="str">
            <v>小河</v>
          </cell>
        </row>
        <row r="13">
          <cell r="A13">
            <v>10</v>
          </cell>
          <cell r="B13" t="str">
            <v>新居Ｃ</v>
          </cell>
          <cell r="C13" t="str">
            <v>Ｓ</v>
          </cell>
          <cell r="D13" t="str">
            <v>安部</v>
          </cell>
        </row>
        <row r="14">
          <cell r="A14">
            <v>11</v>
          </cell>
          <cell r="B14" t="str">
            <v>沼津東Ａ</v>
          </cell>
          <cell r="C14" t="str">
            <v>Ｓ</v>
          </cell>
          <cell r="D14" t="str">
            <v>伊東</v>
          </cell>
        </row>
        <row r="15">
          <cell r="A15">
            <v>12</v>
          </cell>
          <cell r="B15" t="str">
            <v>沼津東Ｂ</v>
          </cell>
          <cell r="C15" t="str">
            <v>Ｓ</v>
          </cell>
          <cell r="D15" t="str">
            <v>前田</v>
          </cell>
        </row>
        <row r="16">
          <cell r="A16">
            <v>13</v>
          </cell>
          <cell r="B16" t="str">
            <v>沼津東Ｃ</v>
          </cell>
          <cell r="C16" t="str">
            <v>Ｓ</v>
          </cell>
          <cell r="D16" t="str">
            <v>山田</v>
          </cell>
        </row>
        <row r="17">
          <cell r="A17">
            <v>14</v>
          </cell>
          <cell r="B17" t="str">
            <v>浜松北Ａ</v>
          </cell>
          <cell r="C17" t="str">
            <v>Ｓ</v>
          </cell>
          <cell r="D17" t="str">
            <v>原田</v>
          </cell>
        </row>
        <row r="18">
          <cell r="A18">
            <v>15</v>
          </cell>
          <cell r="B18" t="str">
            <v>浜松北Ｂ</v>
          </cell>
          <cell r="C18" t="str">
            <v>Ｓ</v>
          </cell>
          <cell r="D18" t="str">
            <v>堀内</v>
          </cell>
        </row>
        <row r="19">
          <cell r="A19">
            <v>16</v>
          </cell>
          <cell r="B19" t="str">
            <v>浜松湖南Ａ</v>
          </cell>
          <cell r="C19" t="str">
            <v>Ｓ</v>
          </cell>
          <cell r="D19" t="str">
            <v>萩原</v>
          </cell>
        </row>
        <row r="20">
          <cell r="A20">
            <v>17</v>
          </cell>
          <cell r="B20" t="str">
            <v>浜松湖南Ｂ</v>
          </cell>
          <cell r="C20" t="str">
            <v>Ｓ</v>
          </cell>
          <cell r="D20" t="str">
            <v>柴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topLeftCell="B1" zoomScaleSheetLayoutView="100" workbookViewId="0">
      <selection activeCell="B1" sqref="B1"/>
    </sheetView>
    <sheetView workbookViewId="1">
      <selection activeCell="B22" sqref="B22"/>
    </sheetView>
  </sheetViews>
  <sheetFormatPr defaultColWidth="13" defaultRowHeight="13" x14ac:dyDescent="0.2"/>
  <cols>
    <col min="1" max="1" width="3.08984375" style="211" customWidth="1"/>
    <col min="2" max="2" width="14.6328125" style="211" customWidth="1"/>
    <col min="3" max="3" width="4.08984375" style="211" customWidth="1"/>
    <col min="4" max="5" width="13" style="211" customWidth="1"/>
    <col min="6" max="6" width="30.90625" style="211" customWidth="1"/>
    <col min="7" max="7" width="4.36328125" style="211" customWidth="1"/>
    <col min="8" max="8" width="18.6328125" style="211" customWidth="1"/>
    <col min="9" max="9" width="3.08984375" style="211" customWidth="1"/>
    <col min="10" max="10" width="16.6328125" style="211" customWidth="1"/>
    <col min="11" max="13" width="13" style="211" customWidth="1"/>
    <col min="14" max="14" width="10.6328125" style="211" customWidth="1"/>
    <col min="15" max="15" width="11.36328125" style="211" customWidth="1"/>
    <col min="16" max="16" width="13.08984375" style="211" customWidth="1"/>
    <col min="17" max="17" width="33.36328125" style="211" customWidth="1"/>
    <col min="18" max="18" width="20" style="211" customWidth="1"/>
    <col min="19" max="21" width="13" style="211" customWidth="1"/>
    <col min="22" max="22" width="26.6328125" style="211" customWidth="1"/>
    <col min="23" max="23" width="13" style="211" customWidth="1"/>
    <col min="24" max="24" width="14.08984375" style="211" customWidth="1"/>
    <col min="25" max="28" width="13" style="211" customWidth="1"/>
    <col min="29" max="29" width="22.36328125" style="211" customWidth="1"/>
    <col min="30" max="30" width="13.6328125" style="211" customWidth="1"/>
    <col min="31" max="16384" width="13" style="211"/>
  </cols>
  <sheetData>
    <row r="1" spans="1:9" x14ac:dyDescent="0.2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/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0"/>
      <c r="B3" s="10"/>
      <c r="C3" s="10"/>
      <c r="D3" s="10"/>
      <c r="E3" s="10"/>
      <c r="F3" s="10"/>
      <c r="G3" s="10"/>
      <c r="H3" s="10"/>
      <c r="I3" s="10"/>
    </row>
    <row r="4" spans="1:9" ht="35.15" customHeight="1" x14ac:dyDescent="0.2">
      <c r="A4" s="10"/>
      <c r="B4" s="525" t="s">
        <v>659</v>
      </c>
      <c r="C4" s="526"/>
      <c r="D4" s="526"/>
      <c r="E4" s="526"/>
      <c r="F4" s="526"/>
      <c r="G4" s="526"/>
      <c r="H4" s="526"/>
      <c r="I4" s="526"/>
    </row>
    <row r="5" spans="1:9" ht="35.15" customHeight="1" x14ac:dyDescent="0.2">
      <c r="A5" s="10"/>
      <c r="B5" s="525" t="s">
        <v>88</v>
      </c>
      <c r="C5" s="526"/>
      <c r="D5" s="526"/>
      <c r="E5" s="526"/>
      <c r="F5" s="526"/>
      <c r="G5" s="526"/>
      <c r="H5" s="526"/>
      <c r="I5" s="526"/>
    </row>
    <row r="6" spans="1:9" ht="35.15" customHeight="1" x14ac:dyDescent="0.2">
      <c r="A6" s="10"/>
      <c r="B6" s="525" t="s">
        <v>89</v>
      </c>
      <c r="C6" s="526"/>
      <c r="D6" s="526"/>
      <c r="E6" s="526"/>
      <c r="F6" s="526"/>
      <c r="G6" s="526"/>
      <c r="H6" s="526"/>
      <c r="I6" s="526"/>
    </row>
    <row r="7" spans="1:9" ht="23.5" x14ac:dyDescent="0.2">
      <c r="A7" s="10"/>
      <c r="B7" s="356"/>
      <c r="C7" s="14"/>
      <c r="D7" s="14"/>
      <c r="E7" s="14"/>
      <c r="F7" s="14"/>
      <c r="G7" s="14"/>
      <c r="H7" s="14"/>
      <c r="I7" s="14"/>
    </row>
    <row r="8" spans="1:9" ht="23.5" x14ac:dyDescent="0.2">
      <c r="A8" s="10"/>
      <c r="B8" s="356"/>
      <c r="C8" s="14"/>
      <c r="D8" s="14"/>
      <c r="E8" s="14"/>
      <c r="F8" s="14"/>
      <c r="G8" s="14"/>
      <c r="H8" s="14"/>
      <c r="I8" s="14"/>
    </row>
    <row r="9" spans="1:9" ht="23.5" x14ac:dyDescent="0.2">
      <c r="A9" s="10"/>
      <c r="B9" s="356"/>
      <c r="C9" s="14"/>
      <c r="D9" s="14"/>
      <c r="E9" s="14"/>
      <c r="F9" s="14"/>
      <c r="G9" s="14"/>
      <c r="H9" s="14"/>
      <c r="I9" s="14"/>
    </row>
    <row r="10" spans="1:9" ht="23.5" x14ac:dyDescent="0.2">
      <c r="A10" s="10"/>
      <c r="B10" s="356"/>
      <c r="C10" s="14"/>
      <c r="D10" s="14"/>
      <c r="E10" s="14"/>
      <c r="F10" s="14"/>
      <c r="G10" s="14"/>
      <c r="H10" s="14"/>
      <c r="I10" s="14"/>
    </row>
    <row r="11" spans="1:9" ht="23.5" x14ac:dyDescent="0.2">
      <c r="A11" s="10"/>
      <c r="B11" s="356"/>
      <c r="C11" s="14"/>
      <c r="D11" s="14"/>
      <c r="E11" s="14"/>
      <c r="F11" s="14"/>
      <c r="G11" s="14"/>
      <c r="H11" s="14"/>
      <c r="I11" s="14"/>
    </row>
    <row r="12" spans="1:9" ht="60.75" customHeight="1" x14ac:dyDescent="0.2">
      <c r="A12" s="524" t="s">
        <v>169</v>
      </c>
      <c r="B12" s="524"/>
      <c r="C12" s="524"/>
      <c r="D12" s="524"/>
      <c r="E12" s="524"/>
      <c r="F12" s="524"/>
      <c r="G12" s="524"/>
      <c r="H12" s="524"/>
      <c r="I12" s="524"/>
    </row>
    <row r="13" spans="1:9" ht="23.5" x14ac:dyDescent="0.2">
      <c r="A13" s="10"/>
      <c r="B13" s="356"/>
      <c r="C13" s="14"/>
      <c r="D13" s="14"/>
      <c r="E13" s="14"/>
      <c r="F13" s="14"/>
      <c r="G13" s="14"/>
      <c r="H13" s="14"/>
      <c r="I13" s="14"/>
    </row>
    <row r="14" spans="1:9" ht="23.5" x14ac:dyDescent="0.2">
      <c r="A14" s="10"/>
      <c r="B14" s="356"/>
      <c r="C14" s="14"/>
      <c r="D14" s="14"/>
      <c r="E14" s="14"/>
      <c r="F14" s="14"/>
      <c r="G14" s="14"/>
      <c r="H14" s="14"/>
      <c r="I14" s="14"/>
    </row>
    <row r="15" spans="1:9" ht="23.5" x14ac:dyDescent="0.2">
      <c r="A15" s="10"/>
      <c r="B15" s="356"/>
      <c r="C15" s="14"/>
      <c r="D15" s="14"/>
      <c r="E15" s="14"/>
      <c r="F15" s="14"/>
      <c r="G15" s="14"/>
      <c r="H15" s="14"/>
      <c r="I15" s="14"/>
    </row>
    <row r="16" spans="1:9" ht="23.5" x14ac:dyDescent="0.2">
      <c r="A16" s="10"/>
      <c r="B16" s="356"/>
      <c r="C16" s="14"/>
      <c r="D16" s="14"/>
      <c r="E16" s="14"/>
      <c r="F16" s="14"/>
      <c r="G16" s="14"/>
      <c r="H16" s="14"/>
      <c r="I16" s="14"/>
    </row>
    <row r="17" spans="1:9" x14ac:dyDescent="0.2">
      <c r="A17" s="10"/>
      <c r="B17" s="10"/>
      <c r="C17" s="10"/>
      <c r="D17" s="10"/>
      <c r="E17" s="10"/>
      <c r="F17" s="10"/>
      <c r="G17" s="10"/>
      <c r="H17" s="10"/>
      <c r="I17" s="10"/>
    </row>
    <row r="18" spans="1:9" ht="23.5" x14ac:dyDescent="0.35">
      <c r="A18" s="357"/>
      <c r="B18" s="10"/>
      <c r="C18" s="10"/>
      <c r="D18" s="10"/>
      <c r="E18" s="10"/>
      <c r="F18" s="10"/>
      <c r="G18" s="10"/>
      <c r="H18" s="10"/>
      <c r="I18" s="10"/>
    </row>
    <row r="19" spans="1:9" ht="27.75" customHeight="1" x14ac:dyDescent="0.3">
      <c r="A19" s="10"/>
      <c r="B19" s="358" t="s">
        <v>160</v>
      </c>
      <c r="C19" s="13"/>
      <c r="D19" s="518" t="s">
        <v>1279</v>
      </c>
      <c r="E19" s="518"/>
      <c r="F19" s="518"/>
      <c r="G19" s="518"/>
      <c r="H19" s="519"/>
      <c r="I19" s="359"/>
    </row>
    <row r="20" spans="1:9" ht="18.75" customHeight="1" x14ac:dyDescent="0.2">
      <c r="A20" s="10"/>
      <c r="B20" s="360"/>
      <c r="C20" s="10"/>
      <c r="D20" s="10"/>
      <c r="E20" s="10"/>
      <c r="F20" s="10"/>
      <c r="G20" s="10"/>
      <c r="H20" s="10"/>
      <c r="I20" s="10"/>
    </row>
    <row r="21" spans="1:9" ht="27.75" customHeight="1" x14ac:dyDescent="0.3">
      <c r="A21" s="10"/>
      <c r="B21" s="358" t="s">
        <v>161</v>
      </c>
      <c r="C21" s="13"/>
      <c r="D21" s="518" t="s">
        <v>1220</v>
      </c>
      <c r="E21" s="518"/>
      <c r="F21" s="518"/>
      <c r="G21" s="518"/>
      <c r="H21" s="519"/>
      <c r="I21" s="359"/>
    </row>
    <row r="22" spans="1:9" ht="18.75" customHeight="1" x14ac:dyDescent="0.2">
      <c r="A22" s="10"/>
      <c r="B22" s="360"/>
      <c r="C22" s="10"/>
      <c r="D22" s="10"/>
      <c r="E22" s="10"/>
      <c r="F22" s="10"/>
      <c r="G22" s="10"/>
      <c r="H22" s="10"/>
      <c r="I22" s="10"/>
    </row>
    <row r="23" spans="1:9" ht="27.75" customHeight="1" x14ac:dyDescent="0.3">
      <c r="A23" s="10"/>
      <c r="B23" s="358" t="s">
        <v>162</v>
      </c>
      <c r="C23" s="13"/>
      <c r="D23" s="518" t="s">
        <v>163</v>
      </c>
      <c r="E23" s="518"/>
      <c r="F23" s="518"/>
      <c r="G23" s="518"/>
      <c r="H23" s="519"/>
      <c r="I23" s="359"/>
    </row>
    <row r="24" spans="1:9" ht="27.75" customHeight="1" x14ac:dyDescent="0.3">
      <c r="A24" s="10"/>
      <c r="B24" s="358"/>
      <c r="C24" s="13"/>
      <c r="D24" s="518" t="s">
        <v>164</v>
      </c>
      <c r="E24" s="518"/>
      <c r="F24" s="518"/>
      <c r="G24" s="518"/>
      <c r="H24" s="519"/>
      <c r="I24" s="359"/>
    </row>
    <row r="25" spans="1:9" ht="27.75" customHeight="1" x14ac:dyDescent="0.3">
      <c r="A25" s="10"/>
      <c r="B25" s="358"/>
      <c r="C25" s="13"/>
      <c r="D25" s="518" t="s">
        <v>165</v>
      </c>
      <c r="E25" s="518"/>
      <c r="F25" s="518"/>
      <c r="G25" s="518"/>
      <c r="H25" s="519"/>
      <c r="I25" s="359"/>
    </row>
    <row r="26" spans="1:9" ht="18.75" customHeight="1" x14ac:dyDescent="0.2">
      <c r="A26" s="10"/>
      <c r="B26" s="360"/>
      <c r="C26" s="10"/>
      <c r="D26" s="10"/>
      <c r="E26" s="10"/>
      <c r="F26" s="10"/>
      <c r="G26" s="10"/>
      <c r="H26" s="10"/>
      <c r="I26" s="10"/>
    </row>
    <row r="27" spans="1:9" ht="27.75" customHeight="1" x14ac:dyDescent="0.3">
      <c r="A27" s="10"/>
      <c r="B27" s="358" t="s">
        <v>166</v>
      </c>
      <c r="C27" s="13"/>
      <c r="D27" s="520" t="s">
        <v>594</v>
      </c>
      <c r="E27" s="520"/>
      <c r="F27" s="520"/>
      <c r="G27" s="520"/>
      <c r="H27" s="521"/>
      <c r="I27" s="359"/>
    </row>
    <row r="28" spans="1:9" ht="27.75" customHeight="1" x14ac:dyDescent="0.3">
      <c r="A28" s="10"/>
      <c r="B28" s="358"/>
      <c r="C28" s="13"/>
      <c r="D28" s="522" t="s">
        <v>379</v>
      </c>
      <c r="E28" s="522"/>
      <c r="F28" s="522"/>
      <c r="G28" s="522"/>
      <c r="H28" s="523"/>
      <c r="I28" s="359"/>
    </row>
    <row r="29" spans="1:9" ht="18.75" customHeight="1" x14ac:dyDescent="0.2">
      <c r="A29" s="10"/>
      <c r="B29" s="360"/>
      <c r="C29" s="10"/>
      <c r="D29" s="10"/>
      <c r="E29" s="10"/>
      <c r="F29" s="10"/>
      <c r="G29" s="10"/>
      <c r="H29" s="10"/>
      <c r="I29" s="10"/>
    </row>
    <row r="30" spans="1:9" ht="27.75" customHeight="1" x14ac:dyDescent="0.3">
      <c r="A30" s="10"/>
      <c r="B30" s="358" t="s">
        <v>167</v>
      </c>
      <c r="C30" s="13"/>
      <c r="D30" s="518" t="s">
        <v>168</v>
      </c>
      <c r="E30" s="518"/>
      <c r="F30" s="518"/>
      <c r="G30" s="518"/>
      <c r="H30" s="518"/>
      <c r="I30" s="361"/>
    </row>
    <row r="31" spans="1:9" ht="27.75" customHeight="1" x14ac:dyDescent="0.3">
      <c r="A31" s="10"/>
      <c r="B31" s="13"/>
      <c r="C31" s="13"/>
      <c r="D31" s="518" t="s">
        <v>165</v>
      </c>
      <c r="E31" s="518"/>
      <c r="F31" s="518"/>
      <c r="G31" s="518"/>
      <c r="H31" s="519"/>
      <c r="I31" s="359"/>
    </row>
  </sheetData>
  <mergeCells count="13">
    <mergeCell ref="D23:H23"/>
    <mergeCell ref="D21:H21"/>
    <mergeCell ref="D19:H19"/>
    <mergeCell ref="A12:I12"/>
    <mergeCell ref="B4:I4"/>
    <mergeCell ref="B5:I5"/>
    <mergeCell ref="B6:I6"/>
    <mergeCell ref="D31:H31"/>
    <mergeCell ref="D24:H24"/>
    <mergeCell ref="D25:H25"/>
    <mergeCell ref="D27:H27"/>
    <mergeCell ref="D28:H28"/>
    <mergeCell ref="D30:H30"/>
  </mergeCells>
  <phoneticPr fontId="1"/>
  <pageMargins left="0.85" right="0.41" top="0.73" bottom="0.57999999999999996" header="0.51181102362204722" footer="0.51181102362204722"/>
  <pageSetup paperSize="9" scale="86" orientation="portrait" horizontalDpi="4294967292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4"/>
  <sheetViews>
    <sheetView zoomScale="85" zoomScaleNormal="85" workbookViewId="0">
      <selection activeCell="K26" sqref="K26"/>
    </sheetView>
    <sheetView zoomScaleNormal="100" workbookViewId="1">
      <selection activeCell="O24" sqref="O24"/>
    </sheetView>
  </sheetViews>
  <sheetFormatPr defaultColWidth="13" defaultRowHeight="13" x14ac:dyDescent="0.2"/>
  <cols>
    <col min="1" max="1" width="6.08984375" style="233" bestFit="1" customWidth="1"/>
    <col min="2" max="2" width="6.36328125" style="10" customWidth="1"/>
    <col min="3" max="3" width="17.7265625" style="110" customWidth="1"/>
    <col min="4" max="4" width="6.08984375" style="11" bestFit="1" customWidth="1"/>
    <col min="5" max="6" width="8.90625" style="11" bestFit="1" customWidth="1"/>
    <col min="7" max="7" width="5.08984375" style="11" bestFit="1" customWidth="1"/>
    <col min="8" max="8" width="9.90625" style="143" bestFit="1" customWidth="1"/>
    <col min="9" max="9" width="12.7265625" style="143" bestFit="1" customWidth="1"/>
    <col min="10" max="10" width="11.08984375" style="11" customWidth="1"/>
    <col min="11" max="16384" width="13" style="10"/>
  </cols>
  <sheetData>
    <row r="1" spans="1:12" x14ac:dyDescent="0.2">
      <c r="A1" s="233" t="s">
        <v>422</v>
      </c>
      <c r="B1" s="10" t="s">
        <v>111</v>
      </c>
    </row>
    <row r="2" spans="1:12" x14ac:dyDescent="0.2">
      <c r="B2" s="11" t="s">
        <v>130</v>
      </c>
      <c r="C2" s="110" t="s">
        <v>359</v>
      </c>
      <c r="D2" s="11" t="s">
        <v>131</v>
      </c>
      <c r="E2" s="11" t="s">
        <v>336</v>
      </c>
      <c r="F2" s="11" t="s">
        <v>363</v>
      </c>
      <c r="G2" s="11" t="s">
        <v>364</v>
      </c>
      <c r="H2" s="11" t="s">
        <v>380</v>
      </c>
      <c r="I2" s="11" t="s">
        <v>381</v>
      </c>
      <c r="J2" s="11" t="s">
        <v>360</v>
      </c>
    </row>
    <row r="3" spans="1:12" x14ac:dyDescent="0.2">
      <c r="B3" s="10">
        <v>1</v>
      </c>
      <c r="C3" s="178" t="s">
        <v>682</v>
      </c>
      <c r="D3" s="11" t="s">
        <v>5</v>
      </c>
      <c r="E3" s="1" t="s">
        <v>575</v>
      </c>
      <c r="F3" s="1" t="s">
        <v>584</v>
      </c>
      <c r="G3" s="11">
        <v>3</v>
      </c>
      <c r="H3" s="143" t="s">
        <v>690</v>
      </c>
      <c r="I3" s="143" t="s">
        <v>691</v>
      </c>
      <c r="J3" s="1" t="s">
        <v>689</v>
      </c>
      <c r="K3"/>
    </row>
    <row r="4" spans="1:12" x14ac:dyDescent="0.2">
      <c r="A4" s="234">
        <v>4</v>
      </c>
      <c r="B4" s="10">
        <v>2</v>
      </c>
      <c r="C4" s="178" t="s">
        <v>683</v>
      </c>
      <c r="D4" s="11" t="s">
        <v>5</v>
      </c>
      <c r="E4" s="1" t="s">
        <v>562</v>
      </c>
      <c r="F4" s="1" t="s">
        <v>563</v>
      </c>
      <c r="G4" s="11">
        <v>3</v>
      </c>
      <c r="H4" s="143" t="s">
        <v>564</v>
      </c>
      <c r="I4" s="143" t="s">
        <v>565</v>
      </c>
      <c r="J4" s="1" t="s">
        <v>689</v>
      </c>
      <c r="K4" s="1"/>
      <c r="L4" s="1"/>
    </row>
    <row r="5" spans="1:12" x14ac:dyDescent="0.2">
      <c r="B5" s="10">
        <v>3</v>
      </c>
      <c r="C5" s="178" t="s">
        <v>684</v>
      </c>
      <c r="D5" s="11" t="s">
        <v>5</v>
      </c>
      <c r="E5" s="1" t="s">
        <v>585</v>
      </c>
      <c r="F5" s="1" t="s">
        <v>586</v>
      </c>
      <c r="G5" s="11">
        <v>3</v>
      </c>
      <c r="H5" s="143" t="s">
        <v>692</v>
      </c>
      <c r="I5" s="143" t="s">
        <v>693</v>
      </c>
      <c r="J5" s="1" t="s">
        <v>689</v>
      </c>
      <c r="K5" s="1"/>
      <c r="L5" s="1"/>
    </row>
    <row r="6" spans="1:12" x14ac:dyDescent="0.2">
      <c r="B6" s="10">
        <v>4</v>
      </c>
      <c r="C6" s="178" t="s">
        <v>685</v>
      </c>
      <c r="D6" s="11" t="s">
        <v>5</v>
      </c>
      <c r="E6" s="1" t="s">
        <v>667</v>
      </c>
      <c r="F6" s="1" t="s">
        <v>668</v>
      </c>
      <c r="G6" s="11">
        <v>2</v>
      </c>
      <c r="H6" s="143" t="s">
        <v>694</v>
      </c>
      <c r="I6" s="143" t="s">
        <v>695</v>
      </c>
      <c r="J6" s="1" t="s">
        <v>689</v>
      </c>
    </row>
    <row r="7" spans="1:12" x14ac:dyDescent="0.2">
      <c r="B7" s="10">
        <v>5</v>
      </c>
      <c r="C7" s="178" t="s">
        <v>686</v>
      </c>
      <c r="D7" s="11" t="s">
        <v>5</v>
      </c>
      <c r="E7" s="1" t="s">
        <v>674</v>
      </c>
      <c r="F7" s="1" t="s">
        <v>675</v>
      </c>
      <c r="G7" s="11">
        <v>2</v>
      </c>
      <c r="H7" s="143" t="s">
        <v>674</v>
      </c>
      <c r="I7" s="143" t="s">
        <v>675</v>
      </c>
      <c r="J7" s="1" t="s">
        <v>689</v>
      </c>
    </row>
    <row r="8" spans="1:12" x14ac:dyDescent="0.2">
      <c r="B8" s="10">
        <v>6</v>
      </c>
      <c r="C8" s="178" t="s">
        <v>687</v>
      </c>
      <c r="D8" s="11" t="s">
        <v>5</v>
      </c>
      <c r="E8" s="1" t="s">
        <v>680</v>
      </c>
      <c r="F8" s="1" t="s">
        <v>681</v>
      </c>
      <c r="G8" s="11">
        <v>2</v>
      </c>
      <c r="H8" s="143" t="s">
        <v>696</v>
      </c>
      <c r="I8" s="143" t="s">
        <v>697</v>
      </c>
      <c r="J8" s="1" t="s">
        <v>689</v>
      </c>
    </row>
    <row r="9" spans="1:12" x14ac:dyDescent="0.2">
      <c r="B9" s="10">
        <v>7</v>
      </c>
      <c r="C9" s="178" t="s">
        <v>688</v>
      </c>
      <c r="D9" s="11" t="s">
        <v>5</v>
      </c>
      <c r="E9" s="1" t="s">
        <v>698</v>
      </c>
      <c r="F9" s="1" t="s">
        <v>699</v>
      </c>
      <c r="G9" s="11">
        <v>2</v>
      </c>
      <c r="H9" s="143" t="s">
        <v>698</v>
      </c>
      <c r="I9" s="143" t="s">
        <v>699</v>
      </c>
      <c r="J9" s="1" t="s">
        <v>689</v>
      </c>
    </row>
    <row r="10" spans="1:12" x14ac:dyDescent="0.2">
      <c r="A10" s="234"/>
      <c r="B10" s="10">
        <v>8</v>
      </c>
      <c r="C10" s="178" t="s">
        <v>709</v>
      </c>
      <c r="D10" s="11" t="s">
        <v>5</v>
      </c>
      <c r="E10" s="1" t="s">
        <v>715</v>
      </c>
      <c r="F10" s="1" t="s">
        <v>716</v>
      </c>
      <c r="G10" s="11">
        <v>2</v>
      </c>
      <c r="H10" s="143" t="s">
        <v>717</v>
      </c>
      <c r="I10" s="143" t="s">
        <v>718</v>
      </c>
      <c r="J10" s="1" t="s">
        <v>739</v>
      </c>
      <c r="K10"/>
    </row>
    <row r="11" spans="1:12" x14ac:dyDescent="0.2">
      <c r="A11" s="234"/>
      <c r="B11">
        <v>9</v>
      </c>
      <c r="C11" s="178" t="s">
        <v>710</v>
      </c>
      <c r="D11" s="11" t="s">
        <v>5</v>
      </c>
      <c r="E11" s="1" t="s">
        <v>719</v>
      </c>
      <c r="F11" s="1" t="s">
        <v>720</v>
      </c>
      <c r="G11" s="11">
        <v>2</v>
      </c>
      <c r="H11" s="143" t="s">
        <v>721</v>
      </c>
      <c r="I11" s="143" t="s">
        <v>722</v>
      </c>
      <c r="J11" s="1" t="s">
        <v>739</v>
      </c>
      <c r="K11"/>
    </row>
    <row r="12" spans="1:12" x14ac:dyDescent="0.2">
      <c r="B12" s="10">
        <v>10</v>
      </c>
      <c r="C12" s="178" t="s">
        <v>711</v>
      </c>
      <c r="D12" s="11" t="s">
        <v>5</v>
      </c>
      <c r="E12" s="1" t="s">
        <v>723</v>
      </c>
      <c r="F12" s="1" t="s">
        <v>724</v>
      </c>
      <c r="G12" s="11">
        <v>3</v>
      </c>
      <c r="H12" s="143" t="s">
        <v>725</v>
      </c>
      <c r="I12" s="143" t="s">
        <v>726</v>
      </c>
      <c r="J12" s="1" t="s">
        <v>739</v>
      </c>
      <c r="K12"/>
    </row>
    <row r="13" spans="1:12" x14ac:dyDescent="0.2">
      <c r="B13" s="10">
        <v>11</v>
      </c>
      <c r="C13" s="178" t="s">
        <v>712</v>
      </c>
      <c r="D13" s="11" t="s">
        <v>5</v>
      </c>
      <c r="E13" s="1" t="s">
        <v>727</v>
      </c>
      <c r="F13" s="1" t="s">
        <v>728</v>
      </c>
      <c r="G13" s="11">
        <v>3</v>
      </c>
      <c r="H13" s="143" t="s">
        <v>729</v>
      </c>
      <c r="I13" s="143" t="s">
        <v>730</v>
      </c>
      <c r="J13" s="1" t="s">
        <v>739</v>
      </c>
      <c r="K13"/>
    </row>
    <row r="14" spans="1:12" x14ac:dyDescent="0.2">
      <c r="B14" s="10">
        <v>12</v>
      </c>
      <c r="C14" s="178" t="s">
        <v>713</v>
      </c>
      <c r="D14" s="11" t="s">
        <v>5</v>
      </c>
      <c r="E14" s="1" t="s">
        <v>731</v>
      </c>
      <c r="F14" s="1" t="s">
        <v>732</v>
      </c>
      <c r="G14" s="11">
        <v>3</v>
      </c>
      <c r="H14" s="143" t="s">
        <v>733</v>
      </c>
      <c r="I14" s="143" t="s">
        <v>734</v>
      </c>
      <c r="J14" s="1" t="s">
        <v>739</v>
      </c>
      <c r="K14"/>
    </row>
    <row r="15" spans="1:12" x14ac:dyDescent="0.2">
      <c r="B15" s="10">
        <v>13</v>
      </c>
      <c r="C15" s="178" t="s">
        <v>714</v>
      </c>
      <c r="D15" s="11" t="s">
        <v>5</v>
      </c>
      <c r="E15" s="1" t="s">
        <v>735</v>
      </c>
      <c r="F15" s="1" t="s">
        <v>736</v>
      </c>
      <c r="G15" s="11">
        <v>3</v>
      </c>
      <c r="H15" s="143" t="s">
        <v>737</v>
      </c>
      <c r="I15" s="143" t="s">
        <v>738</v>
      </c>
      <c r="J15" s="1" t="s">
        <v>739</v>
      </c>
      <c r="K15"/>
    </row>
    <row r="16" spans="1:12" x14ac:dyDescent="0.2">
      <c r="A16" s="234">
        <v>1</v>
      </c>
      <c r="B16" s="10">
        <v>14</v>
      </c>
      <c r="C16" s="178" t="s">
        <v>772</v>
      </c>
      <c r="D16" s="11" t="s">
        <v>5</v>
      </c>
      <c r="E16" s="1" t="s">
        <v>780</v>
      </c>
      <c r="F16" s="1" t="s">
        <v>781</v>
      </c>
      <c r="G16" s="11">
        <v>3</v>
      </c>
      <c r="H16" s="143" t="s">
        <v>545</v>
      </c>
      <c r="I16" s="143" t="s">
        <v>546</v>
      </c>
      <c r="J16" s="1" t="s">
        <v>800</v>
      </c>
      <c r="K16"/>
    </row>
    <row r="17" spans="1:12" x14ac:dyDescent="0.2">
      <c r="B17" s="10">
        <v>15</v>
      </c>
      <c r="C17" s="178" t="s">
        <v>773</v>
      </c>
      <c r="D17" s="11" t="s">
        <v>5</v>
      </c>
      <c r="E17" s="1" t="s">
        <v>541</v>
      </c>
      <c r="F17" s="1" t="s">
        <v>542</v>
      </c>
      <c r="G17" s="11">
        <v>3</v>
      </c>
      <c r="H17" s="143" t="s">
        <v>543</v>
      </c>
      <c r="I17" s="143" t="s">
        <v>544</v>
      </c>
      <c r="J17" s="1" t="s">
        <v>800</v>
      </c>
      <c r="K17"/>
    </row>
    <row r="18" spans="1:12" x14ac:dyDescent="0.2">
      <c r="B18" s="10">
        <v>16</v>
      </c>
      <c r="C18" s="178" t="s">
        <v>774</v>
      </c>
      <c r="D18" s="11" t="s">
        <v>5</v>
      </c>
      <c r="E18" s="1" t="s">
        <v>782</v>
      </c>
      <c r="F18" s="1" t="s">
        <v>783</v>
      </c>
      <c r="G18" s="11">
        <v>3</v>
      </c>
      <c r="H18" s="143" t="s">
        <v>547</v>
      </c>
      <c r="I18" s="143" t="s">
        <v>548</v>
      </c>
      <c r="J18" s="1" t="s">
        <v>800</v>
      </c>
      <c r="K18"/>
    </row>
    <row r="19" spans="1:12" x14ac:dyDescent="0.2">
      <c r="B19" s="10">
        <v>17</v>
      </c>
      <c r="C19" s="178" t="s">
        <v>775</v>
      </c>
      <c r="D19" s="11" t="s">
        <v>5</v>
      </c>
      <c r="E19" s="1" t="s">
        <v>580</v>
      </c>
      <c r="F19" s="179" t="s">
        <v>784</v>
      </c>
      <c r="G19" s="11">
        <v>3</v>
      </c>
      <c r="H19" s="143" t="s">
        <v>549</v>
      </c>
      <c r="I19" s="143" t="s">
        <v>550</v>
      </c>
      <c r="J19" s="1" t="s">
        <v>800</v>
      </c>
      <c r="K19"/>
    </row>
    <row r="20" spans="1:12" x14ac:dyDescent="0.2">
      <c r="B20" s="10">
        <v>18</v>
      </c>
      <c r="C20" s="178" t="s">
        <v>776</v>
      </c>
      <c r="D20" s="11" t="s">
        <v>5</v>
      </c>
      <c r="E20" s="1" t="s">
        <v>785</v>
      </c>
      <c r="F20" s="179" t="s">
        <v>786</v>
      </c>
      <c r="G20" s="11">
        <v>2</v>
      </c>
      <c r="H20" s="143" t="s">
        <v>787</v>
      </c>
      <c r="I20" s="143" t="s">
        <v>788</v>
      </c>
      <c r="J20" s="1" t="s">
        <v>800</v>
      </c>
      <c r="K20"/>
    </row>
    <row r="21" spans="1:12" x14ac:dyDescent="0.2">
      <c r="B21" s="10">
        <v>19</v>
      </c>
      <c r="C21" s="178" t="s">
        <v>777</v>
      </c>
      <c r="D21" s="11" t="s">
        <v>5</v>
      </c>
      <c r="E21" s="1" t="s">
        <v>789</v>
      </c>
      <c r="F21" s="1" t="s">
        <v>790</v>
      </c>
      <c r="G21" s="11">
        <v>2</v>
      </c>
      <c r="H21" s="143" t="s">
        <v>791</v>
      </c>
      <c r="I21" s="143" t="s">
        <v>792</v>
      </c>
      <c r="J21" s="1" t="s">
        <v>800</v>
      </c>
    </row>
    <row r="22" spans="1:12" x14ac:dyDescent="0.2">
      <c r="B22" s="10">
        <v>20</v>
      </c>
      <c r="C22" s="178" t="s">
        <v>778</v>
      </c>
      <c r="D22" s="11" t="s">
        <v>5</v>
      </c>
      <c r="E22" s="1" t="s">
        <v>793</v>
      </c>
      <c r="F22" s="1" t="s">
        <v>794</v>
      </c>
      <c r="G22" s="11">
        <v>2</v>
      </c>
      <c r="H22" s="143" t="s">
        <v>795</v>
      </c>
      <c r="I22" s="143" t="s">
        <v>796</v>
      </c>
      <c r="J22" s="1" t="s">
        <v>800</v>
      </c>
    </row>
    <row r="23" spans="1:12" x14ac:dyDescent="0.2">
      <c r="B23" s="10">
        <v>21</v>
      </c>
      <c r="C23" s="178" t="s">
        <v>779</v>
      </c>
      <c r="D23" s="11" t="s">
        <v>5</v>
      </c>
      <c r="E23" s="1" t="s">
        <v>797</v>
      </c>
      <c r="F23" s="1" t="s">
        <v>798</v>
      </c>
      <c r="G23" s="11">
        <v>2</v>
      </c>
      <c r="H23" s="143" t="s">
        <v>539</v>
      </c>
      <c r="I23" s="143" t="s">
        <v>799</v>
      </c>
      <c r="J23" s="1" t="s">
        <v>800</v>
      </c>
    </row>
    <row r="24" spans="1:12" x14ac:dyDescent="0.2">
      <c r="A24" s="233">
        <v>2</v>
      </c>
      <c r="B24" s="10">
        <v>22</v>
      </c>
      <c r="C24" s="178" t="s">
        <v>841</v>
      </c>
      <c r="D24" s="11" t="s">
        <v>5</v>
      </c>
      <c r="E24" s="1" t="s">
        <v>846</v>
      </c>
      <c r="F24" s="1" t="s">
        <v>847</v>
      </c>
      <c r="G24" s="11">
        <v>3</v>
      </c>
      <c r="H24" s="143" t="s">
        <v>531</v>
      </c>
      <c r="I24" s="143" t="s">
        <v>532</v>
      </c>
      <c r="J24" s="1" t="s">
        <v>858</v>
      </c>
    </row>
    <row r="25" spans="1:12" x14ac:dyDescent="0.2">
      <c r="B25" s="10">
        <v>23</v>
      </c>
      <c r="C25" s="178" t="s">
        <v>842</v>
      </c>
      <c r="D25" s="11" t="s">
        <v>5</v>
      </c>
      <c r="E25" s="1" t="s">
        <v>848</v>
      </c>
      <c r="F25" s="1" t="s">
        <v>849</v>
      </c>
      <c r="G25" s="11">
        <v>3</v>
      </c>
      <c r="H25" s="143" t="s">
        <v>535</v>
      </c>
      <c r="I25" s="143" t="s">
        <v>536</v>
      </c>
      <c r="J25" s="1" t="s">
        <v>858</v>
      </c>
      <c r="L25"/>
    </row>
    <row r="26" spans="1:12" x14ac:dyDescent="0.2">
      <c r="A26" s="234"/>
      <c r="B26">
        <v>24</v>
      </c>
      <c r="C26" s="178" t="s">
        <v>843</v>
      </c>
      <c r="D26" s="11" t="s">
        <v>5</v>
      </c>
      <c r="E26" s="1" t="s">
        <v>850</v>
      </c>
      <c r="F26" s="1" t="s">
        <v>851</v>
      </c>
      <c r="G26" s="11">
        <v>3</v>
      </c>
      <c r="H26" s="143" t="s">
        <v>537</v>
      </c>
      <c r="I26" s="143" t="s">
        <v>538</v>
      </c>
      <c r="J26" s="1" t="s">
        <v>858</v>
      </c>
    </row>
    <row r="27" spans="1:12" x14ac:dyDescent="0.2">
      <c r="A27" s="234"/>
      <c r="B27" s="10">
        <v>25</v>
      </c>
      <c r="C27" s="178" t="s">
        <v>844</v>
      </c>
      <c r="D27" s="11" t="s">
        <v>5</v>
      </c>
      <c r="E27" s="1" t="s">
        <v>852</v>
      </c>
      <c r="F27" s="1" t="s">
        <v>853</v>
      </c>
      <c r="G27" s="11">
        <v>2</v>
      </c>
      <c r="H27" s="143" t="s">
        <v>854</v>
      </c>
      <c r="I27" s="143" t="s">
        <v>855</v>
      </c>
      <c r="J27" s="1" t="s">
        <v>858</v>
      </c>
    </row>
    <row r="28" spans="1:12" x14ac:dyDescent="0.2">
      <c r="A28" s="234"/>
      <c r="B28" s="10">
        <v>26</v>
      </c>
      <c r="C28" s="178" t="s">
        <v>845</v>
      </c>
      <c r="D28" s="11" t="s">
        <v>5</v>
      </c>
      <c r="E28" s="1" t="s">
        <v>856</v>
      </c>
      <c r="F28" s="1" t="s">
        <v>857</v>
      </c>
      <c r="G28" s="11">
        <v>3</v>
      </c>
      <c r="H28" s="143" t="s">
        <v>539</v>
      </c>
      <c r="I28" s="143" t="s">
        <v>540</v>
      </c>
      <c r="J28" s="1" t="s">
        <v>858</v>
      </c>
    </row>
    <row r="29" spans="1:12" x14ac:dyDescent="0.2">
      <c r="A29" s="234">
        <v>3</v>
      </c>
      <c r="B29" s="10">
        <v>27</v>
      </c>
      <c r="C29" s="178" t="s">
        <v>877</v>
      </c>
      <c r="D29" s="11" t="s">
        <v>5</v>
      </c>
      <c r="E29" s="1" t="s">
        <v>879</v>
      </c>
      <c r="F29" s="1" t="s">
        <v>880</v>
      </c>
      <c r="G29" s="11">
        <v>2</v>
      </c>
      <c r="H29" s="143" t="s">
        <v>881</v>
      </c>
      <c r="I29" s="143" t="s">
        <v>882</v>
      </c>
      <c r="J29" s="1" t="s">
        <v>1113</v>
      </c>
    </row>
    <row r="30" spans="1:12" x14ac:dyDescent="0.2">
      <c r="B30" s="10">
        <v>28</v>
      </c>
      <c r="C30" s="178" t="s">
        <v>878</v>
      </c>
      <c r="D30" s="11" t="s">
        <v>5</v>
      </c>
      <c r="E30" s="1" t="s">
        <v>883</v>
      </c>
      <c r="F30" s="1" t="s">
        <v>884</v>
      </c>
      <c r="G30" s="11">
        <v>2</v>
      </c>
      <c r="H30" s="143" t="s">
        <v>885</v>
      </c>
      <c r="I30" s="143" t="s">
        <v>886</v>
      </c>
      <c r="J30" s="1" t="s">
        <v>1113</v>
      </c>
    </row>
    <row r="31" spans="1:12" x14ac:dyDescent="0.2">
      <c r="B31" s="10">
        <v>29</v>
      </c>
      <c r="C31" s="178" t="s">
        <v>913</v>
      </c>
      <c r="D31" s="11" t="s">
        <v>5</v>
      </c>
      <c r="E31" s="1" t="s">
        <v>917</v>
      </c>
      <c r="F31" s="1" t="s">
        <v>918</v>
      </c>
      <c r="G31" s="11">
        <v>3</v>
      </c>
      <c r="H31" s="143" t="s">
        <v>919</v>
      </c>
      <c r="I31" s="143" t="s">
        <v>920</v>
      </c>
      <c r="J31" s="1" t="s">
        <v>932</v>
      </c>
    </row>
    <row r="32" spans="1:12" x14ac:dyDescent="0.2">
      <c r="B32" s="10">
        <v>30</v>
      </c>
      <c r="C32" s="178" t="s">
        <v>914</v>
      </c>
      <c r="D32" s="11" t="s">
        <v>5</v>
      </c>
      <c r="E32" s="1" t="s">
        <v>921</v>
      </c>
      <c r="F32" s="1" t="s">
        <v>922</v>
      </c>
      <c r="G32" s="11">
        <v>3</v>
      </c>
      <c r="H32" s="143" t="s">
        <v>923</v>
      </c>
      <c r="I32" s="143" t="s">
        <v>924</v>
      </c>
      <c r="J32" s="1" t="s">
        <v>933</v>
      </c>
    </row>
    <row r="33" spans="1:10" x14ac:dyDescent="0.2">
      <c r="B33" s="10">
        <v>31</v>
      </c>
      <c r="C33" s="178" t="s">
        <v>915</v>
      </c>
      <c r="D33" s="11" t="s">
        <v>5</v>
      </c>
      <c r="E33" s="1" t="s">
        <v>925</v>
      </c>
      <c r="F33" s="1" t="s">
        <v>926</v>
      </c>
      <c r="G33" s="11">
        <v>2</v>
      </c>
      <c r="H33" s="143" t="s">
        <v>927</v>
      </c>
      <c r="I33" s="143" t="s">
        <v>928</v>
      </c>
      <c r="J33" s="1" t="s">
        <v>934</v>
      </c>
    </row>
    <row r="34" spans="1:10" x14ac:dyDescent="0.2">
      <c r="B34" s="10">
        <v>32</v>
      </c>
      <c r="C34" s="178" t="s">
        <v>916</v>
      </c>
      <c r="D34" s="11" t="s">
        <v>5</v>
      </c>
      <c r="E34" s="1" t="s">
        <v>910</v>
      </c>
      <c r="F34" s="1" t="s">
        <v>929</v>
      </c>
      <c r="G34" s="11">
        <v>2</v>
      </c>
      <c r="H34" s="143" t="s">
        <v>930</v>
      </c>
      <c r="I34" s="143" t="s">
        <v>931</v>
      </c>
      <c r="J34" s="1" t="s">
        <v>932</v>
      </c>
    </row>
    <row r="35" spans="1:10" x14ac:dyDescent="0.2">
      <c r="A35" s="234" t="s">
        <v>1123</v>
      </c>
      <c r="B35" s="10">
        <v>33</v>
      </c>
      <c r="C35" s="178" t="s">
        <v>998</v>
      </c>
      <c r="D35" s="11" t="s">
        <v>5</v>
      </c>
      <c r="E35" s="1" t="s">
        <v>995</v>
      </c>
      <c r="F35" s="1" t="s">
        <v>996</v>
      </c>
      <c r="G35" s="11">
        <v>2</v>
      </c>
      <c r="H35" s="143" t="s">
        <v>1000</v>
      </c>
      <c r="I35" s="143" t="s">
        <v>1001</v>
      </c>
      <c r="J35" s="1" t="s">
        <v>1002</v>
      </c>
    </row>
    <row r="36" spans="1:10" x14ac:dyDescent="0.2">
      <c r="B36" s="10">
        <v>34</v>
      </c>
      <c r="C36" s="178" t="s">
        <v>999</v>
      </c>
      <c r="D36" s="11" t="s">
        <v>5</v>
      </c>
      <c r="E36" s="1" t="s">
        <v>562</v>
      </c>
      <c r="F36" s="1" t="s">
        <v>1003</v>
      </c>
      <c r="G36" s="11">
        <v>2</v>
      </c>
      <c r="H36" s="143" t="s">
        <v>1004</v>
      </c>
      <c r="I36" s="143" t="s">
        <v>1005</v>
      </c>
      <c r="J36" s="1" t="s">
        <v>1002</v>
      </c>
    </row>
    <row r="37" spans="1:10" x14ac:dyDescent="0.2">
      <c r="B37" s="10">
        <v>35</v>
      </c>
      <c r="C37" s="178" t="s">
        <v>1020</v>
      </c>
      <c r="D37" s="11" t="s">
        <v>5</v>
      </c>
      <c r="E37" s="1" t="s">
        <v>1017</v>
      </c>
      <c r="F37" s="1" t="s">
        <v>1018</v>
      </c>
      <c r="G37" s="11">
        <v>3</v>
      </c>
      <c r="H37" s="143" t="s">
        <v>1024</v>
      </c>
      <c r="I37" s="143" t="s">
        <v>1025</v>
      </c>
      <c r="J37" s="1" t="s">
        <v>1026</v>
      </c>
    </row>
    <row r="38" spans="1:10" x14ac:dyDescent="0.2">
      <c r="B38" s="10">
        <v>36</v>
      </c>
      <c r="C38" s="178" t="s">
        <v>1021</v>
      </c>
      <c r="D38" s="11" t="s">
        <v>5</v>
      </c>
      <c r="E38" s="1" t="s">
        <v>1027</v>
      </c>
      <c r="F38" s="1" t="s">
        <v>1028</v>
      </c>
      <c r="G38" s="11">
        <v>2</v>
      </c>
      <c r="H38" s="143" t="s">
        <v>1029</v>
      </c>
      <c r="I38" s="143" t="s">
        <v>1030</v>
      </c>
      <c r="J38" s="1" t="s">
        <v>1026</v>
      </c>
    </row>
    <row r="39" spans="1:10" x14ac:dyDescent="0.2">
      <c r="B39" s="10">
        <v>37</v>
      </c>
      <c r="C39" s="178" t="s">
        <v>1022</v>
      </c>
      <c r="D39" s="11" t="s">
        <v>5</v>
      </c>
      <c r="E39" s="1" t="s">
        <v>1031</v>
      </c>
      <c r="F39" s="1" t="s">
        <v>1032</v>
      </c>
      <c r="G39" s="11">
        <v>2</v>
      </c>
      <c r="H39" s="143" t="s">
        <v>1033</v>
      </c>
      <c r="I39" s="143" t="s">
        <v>1034</v>
      </c>
      <c r="J39" s="1" t="s">
        <v>1026</v>
      </c>
    </row>
    <row r="40" spans="1:10" x14ac:dyDescent="0.2">
      <c r="B40" s="10">
        <v>38</v>
      </c>
      <c r="C40" s="178" t="s">
        <v>1023</v>
      </c>
      <c r="D40" s="11" t="s">
        <v>5</v>
      </c>
      <c r="E40" s="1" t="s">
        <v>1035</v>
      </c>
      <c r="F40" s="1" t="s">
        <v>1036</v>
      </c>
      <c r="G40" s="11">
        <v>2</v>
      </c>
      <c r="H40" s="143" t="s">
        <v>1037</v>
      </c>
      <c r="I40" s="143" t="s">
        <v>1038</v>
      </c>
      <c r="J40" s="1" t="s">
        <v>1026</v>
      </c>
    </row>
    <row r="41" spans="1:10" x14ac:dyDescent="0.2">
      <c r="B41" s="10">
        <v>39</v>
      </c>
      <c r="C41" s="178" t="s">
        <v>1070</v>
      </c>
      <c r="D41" s="11" t="s">
        <v>5</v>
      </c>
      <c r="E41" s="11" t="s">
        <v>551</v>
      </c>
      <c r="F41" s="11" t="s">
        <v>552</v>
      </c>
      <c r="G41" s="11">
        <v>3</v>
      </c>
      <c r="H41" s="143" t="s">
        <v>1073</v>
      </c>
      <c r="I41" s="143" t="s">
        <v>1074</v>
      </c>
      <c r="J41" s="1" t="s">
        <v>1075</v>
      </c>
    </row>
    <row r="42" spans="1:10" x14ac:dyDescent="0.2">
      <c r="B42" s="10">
        <v>40</v>
      </c>
      <c r="C42" s="178" t="s">
        <v>1071</v>
      </c>
      <c r="D42" s="11" t="s">
        <v>5</v>
      </c>
      <c r="E42" s="11" t="s">
        <v>553</v>
      </c>
      <c r="F42" s="11" t="s">
        <v>554</v>
      </c>
      <c r="G42" s="11">
        <v>3</v>
      </c>
      <c r="H42" s="143" t="s">
        <v>1076</v>
      </c>
      <c r="I42" s="143" t="s">
        <v>1077</v>
      </c>
      <c r="J42" s="1" t="s">
        <v>1075</v>
      </c>
    </row>
    <row r="43" spans="1:10" x14ac:dyDescent="0.2">
      <c r="B43" s="10">
        <v>41</v>
      </c>
      <c r="C43" s="178" t="s">
        <v>1072</v>
      </c>
      <c r="D43" s="11" t="s">
        <v>5</v>
      </c>
      <c r="E43" s="11" t="s">
        <v>555</v>
      </c>
      <c r="F43" s="11" t="s">
        <v>556</v>
      </c>
      <c r="G43" s="11">
        <v>3</v>
      </c>
      <c r="H43" s="143" t="s">
        <v>1078</v>
      </c>
      <c r="I43" s="143" t="s">
        <v>1079</v>
      </c>
      <c r="J43" s="1" t="s">
        <v>1075</v>
      </c>
    </row>
    <row r="44" spans="1:10" x14ac:dyDescent="0.2">
      <c r="B44" s="10">
        <v>42</v>
      </c>
    </row>
  </sheetData>
  <phoneticPr fontId="33"/>
  <pageMargins left="0" right="0" top="0.74803149606299213" bottom="0.74803149606299213" header="0.31496062992125984" footer="0.31496062992125984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7"/>
  <sheetViews>
    <sheetView zoomScale="120" zoomScaleNormal="120" workbookViewId="0">
      <selection activeCell="J3" sqref="J3:J18"/>
    </sheetView>
    <sheetView zoomScaleNormal="100" workbookViewId="1">
      <selection activeCell="D36" sqref="D36"/>
    </sheetView>
  </sheetViews>
  <sheetFormatPr defaultColWidth="13" defaultRowHeight="13" x14ac:dyDescent="0.2"/>
  <cols>
    <col min="1" max="1" width="6.08984375" style="233" bestFit="1" customWidth="1"/>
    <col min="2" max="2" width="8.36328125" style="10" bestFit="1" customWidth="1"/>
    <col min="3" max="3" width="19" style="110" bestFit="1" customWidth="1"/>
    <col min="4" max="4" width="7" style="11" bestFit="1" customWidth="1"/>
    <col min="5" max="6" width="8.90625" style="11" bestFit="1" customWidth="1"/>
    <col min="7" max="7" width="6" style="11" bestFit="1" customWidth="1"/>
    <col min="8" max="8" width="9.90625" style="180" bestFit="1" customWidth="1"/>
    <col min="9" max="9" width="7.6328125" style="180" bestFit="1" customWidth="1"/>
    <col min="10" max="10" width="13.36328125" style="11" customWidth="1"/>
    <col min="11" max="16384" width="13" style="10"/>
  </cols>
  <sheetData>
    <row r="1" spans="1:12" x14ac:dyDescent="0.2">
      <c r="A1" s="233" t="s">
        <v>422</v>
      </c>
      <c r="B1" s="10" t="s">
        <v>29</v>
      </c>
    </row>
    <row r="2" spans="1:12" x14ac:dyDescent="0.2">
      <c r="B2" s="11" t="s">
        <v>135</v>
      </c>
      <c r="C2" s="110" t="s">
        <v>368</v>
      </c>
      <c r="D2" s="11" t="s">
        <v>136</v>
      </c>
      <c r="E2" s="11" t="s">
        <v>336</v>
      </c>
      <c r="F2" s="11" t="s">
        <v>363</v>
      </c>
      <c r="G2" s="11" t="s">
        <v>364</v>
      </c>
      <c r="H2" s="180" t="s">
        <v>380</v>
      </c>
      <c r="I2" s="180" t="s">
        <v>381</v>
      </c>
      <c r="J2" s="11" t="s">
        <v>360</v>
      </c>
    </row>
    <row r="3" spans="1:12" x14ac:dyDescent="0.2">
      <c r="A3" s="234"/>
      <c r="B3" s="10">
        <v>1</v>
      </c>
      <c r="C3" s="178" t="s">
        <v>682</v>
      </c>
      <c r="D3" s="11" t="s">
        <v>53</v>
      </c>
      <c r="E3" s="1" t="s">
        <v>700</v>
      </c>
      <c r="F3" s="1" t="s">
        <v>701</v>
      </c>
      <c r="G3" s="11">
        <v>2</v>
      </c>
      <c r="H3" s="180" t="s">
        <v>702</v>
      </c>
      <c r="I3" s="180" t="s">
        <v>703</v>
      </c>
      <c r="J3" s="381" t="s">
        <v>704</v>
      </c>
      <c r="K3" s="1"/>
      <c r="L3" s="1"/>
    </row>
    <row r="4" spans="1:12" x14ac:dyDescent="0.2">
      <c r="A4" s="234"/>
      <c r="B4" s="10">
        <v>2</v>
      </c>
      <c r="C4" s="178" t="s">
        <v>683</v>
      </c>
      <c r="D4" s="11" t="s">
        <v>53</v>
      </c>
      <c r="E4" s="1" t="s">
        <v>705</v>
      </c>
      <c r="F4" s="1" t="s">
        <v>706</v>
      </c>
      <c r="G4" s="11">
        <v>2</v>
      </c>
      <c r="H4" s="180" t="s">
        <v>707</v>
      </c>
      <c r="I4" s="180" t="s">
        <v>708</v>
      </c>
      <c r="J4" s="381" t="s">
        <v>704</v>
      </c>
      <c r="K4" s="1"/>
      <c r="L4" s="1"/>
    </row>
    <row r="5" spans="1:12" x14ac:dyDescent="0.2">
      <c r="B5" s="10">
        <v>3</v>
      </c>
      <c r="C5" s="178" t="s">
        <v>709</v>
      </c>
      <c r="D5" s="11" t="s">
        <v>53</v>
      </c>
      <c r="E5" s="1" t="s">
        <v>745</v>
      </c>
      <c r="F5" s="1" t="s">
        <v>748</v>
      </c>
      <c r="G5" s="11">
        <v>2</v>
      </c>
      <c r="H5" s="180" t="s">
        <v>749</v>
      </c>
      <c r="I5" s="180" t="s">
        <v>750</v>
      </c>
      <c r="J5" s="381" t="s">
        <v>751</v>
      </c>
      <c r="K5"/>
      <c r="L5"/>
    </row>
    <row r="6" spans="1:12" x14ac:dyDescent="0.2">
      <c r="B6" s="10">
        <v>4</v>
      </c>
      <c r="C6" s="178" t="s">
        <v>710</v>
      </c>
      <c r="D6" s="11" t="s">
        <v>53</v>
      </c>
      <c r="E6" s="1" t="s">
        <v>752</v>
      </c>
      <c r="F6" s="1" t="s">
        <v>753</v>
      </c>
      <c r="G6" s="11">
        <v>2</v>
      </c>
      <c r="H6" s="180" t="s">
        <v>754</v>
      </c>
      <c r="I6" s="180" t="s">
        <v>755</v>
      </c>
      <c r="J6" s="381" t="s">
        <v>751</v>
      </c>
    </row>
    <row r="7" spans="1:12" x14ac:dyDescent="0.2">
      <c r="A7" s="233">
        <v>3</v>
      </c>
      <c r="B7" s="10">
        <v>5</v>
      </c>
      <c r="C7" s="178" t="s">
        <v>859</v>
      </c>
      <c r="D7" s="11" t="s">
        <v>53</v>
      </c>
      <c r="E7" s="1" t="s">
        <v>862</v>
      </c>
      <c r="F7" s="1" t="s">
        <v>863</v>
      </c>
      <c r="G7" s="11">
        <v>3</v>
      </c>
      <c r="H7" s="180" t="s">
        <v>864</v>
      </c>
      <c r="I7" s="180" t="s">
        <v>865</v>
      </c>
      <c r="J7" s="381" t="s">
        <v>876</v>
      </c>
    </row>
    <row r="8" spans="1:12" x14ac:dyDescent="0.2">
      <c r="B8" s="10">
        <v>6</v>
      </c>
      <c r="C8" s="178" t="s">
        <v>831</v>
      </c>
      <c r="D8" s="11" t="s">
        <v>53</v>
      </c>
      <c r="E8" s="1" t="s">
        <v>723</v>
      </c>
      <c r="F8" s="1" t="s">
        <v>866</v>
      </c>
      <c r="G8" s="11">
        <v>2</v>
      </c>
      <c r="H8" s="180" t="s">
        <v>534</v>
      </c>
      <c r="I8" s="180" t="s">
        <v>867</v>
      </c>
      <c r="J8" s="381" t="s">
        <v>876</v>
      </c>
    </row>
    <row r="9" spans="1:12" x14ac:dyDescent="0.2">
      <c r="A9" s="234"/>
      <c r="B9" s="10">
        <v>7</v>
      </c>
      <c r="C9" s="178" t="s">
        <v>860</v>
      </c>
      <c r="D9" s="11" t="s">
        <v>53</v>
      </c>
      <c r="E9" s="1" t="s">
        <v>868</v>
      </c>
      <c r="F9" s="1" t="s">
        <v>869</v>
      </c>
      <c r="G9" s="11">
        <v>2</v>
      </c>
      <c r="H9" s="180" t="s">
        <v>870</v>
      </c>
      <c r="I9" s="180" t="s">
        <v>871</v>
      </c>
      <c r="J9" s="381" t="s">
        <v>876</v>
      </c>
    </row>
    <row r="10" spans="1:12" x14ac:dyDescent="0.2">
      <c r="A10" s="234"/>
      <c r="B10" s="10">
        <v>8</v>
      </c>
      <c r="C10" s="178" t="s">
        <v>861</v>
      </c>
      <c r="D10" s="11" t="s">
        <v>53</v>
      </c>
      <c r="E10" s="1" t="s">
        <v>872</v>
      </c>
      <c r="F10" s="1" t="s">
        <v>873</v>
      </c>
      <c r="G10" s="11">
        <v>2</v>
      </c>
      <c r="H10" s="180" t="s">
        <v>874</v>
      </c>
      <c r="I10" s="180" t="s">
        <v>875</v>
      </c>
      <c r="J10" s="381" t="s">
        <v>876</v>
      </c>
    </row>
    <row r="11" spans="1:12" x14ac:dyDescent="0.2">
      <c r="A11" s="234"/>
      <c r="B11" s="10">
        <v>9</v>
      </c>
      <c r="C11" s="178" t="s">
        <v>935</v>
      </c>
      <c r="D11" s="11" t="s">
        <v>53</v>
      </c>
      <c r="E11" s="1" t="s">
        <v>938</v>
      </c>
      <c r="F11" s="1" t="s">
        <v>939</v>
      </c>
      <c r="G11" s="11">
        <v>3</v>
      </c>
      <c r="H11" s="180" t="s">
        <v>940</v>
      </c>
      <c r="I11" s="180" t="s">
        <v>941</v>
      </c>
      <c r="J11" s="381" t="s">
        <v>942</v>
      </c>
    </row>
    <row r="12" spans="1:12" x14ac:dyDescent="0.2">
      <c r="B12" s="10">
        <v>10</v>
      </c>
      <c r="C12" s="178" t="s">
        <v>936</v>
      </c>
      <c r="D12" s="11" t="s">
        <v>53</v>
      </c>
      <c r="E12" s="1" t="s">
        <v>943</v>
      </c>
      <c r="F12" s="1" t="s">
        <v>944</v>
      </c>
      <c r="G12" s="11">
        <v>3</v>
      </c>
      <c r="H12" s="180" t="s">
        <v>945</v>
      </c>
      <c r="I12" s="180" t="s">
        <v>946</v>
      </c>
      <c r="J12" s="381" t="s">
        <v>947</v>
      </c>
    </row>
    <row r="13" spans="1:12" x14ac:dyDescent="0.2">
      <c r="A13" s="233">
        <v>4</v>
      </c>
      <c r="B13" s="10">
        <v>11</v>
      </c>
      <c r="C13" s="178" t="s">
        <v>937</v>
      </c>
      <c r="D13" s="11" t="s">
        <v>53</v>
      </c>
      <c r="E13" s="1" t="s">
        <v>948</v>
      </c>
      <c r="F13" s="1" t="s">
        <v>949</v>
      </c>
      <c r="G13" s="11">
        <v>3</v>
      </c>
      <c r="H13" s="180" t="s">
        <v>950</v>
      </c>
      <c r="I13" s="180" t="s">
        <v>951</v>
      </c>
      <c r="J13" s="381" t="s">
        <v>952</v>
      </c>
    </row>
    <row r="14" spans="1:12" x14ac:dyDescent="0.2">
      <c r="A14" s="234">
        <v>2</v>
      </c>
      <c r="B14" s="10">
        <v>12</v>
      </c>
      <c r="C14" s="178" t="s">
        <v>1006</v>
      </c>
      <c r="D14" s="11" t="s">
        <v>53</v>
      </c>
      <c r="E14" s="1" t="s">
        <v>1039</v>
      </c>
      <c r="F14" s="1" t="s">
        <v>1040</v>
      </c>
      <c r="G14" s="11">
        <v>3</v>
      </c>
      <c r="H14" s="180" t="s">
        <v>1041</v>
      </c>
      <c r="I14" s="180" t="s">
        <v>1042</v>
      </c>
      <c r="J14" s="381" t="s">
        <v>1043</v>
      </c>
    </row>
    <row r="15" spans="1:12" x14ac:dyDescent="0.2">
      <c r="B15" s="10">
        <v>13</v>
      </c>
      <c r="C15" s="178" t="s">
        <v>980</v>
      </c>
      <c r="D15" s="11" t="s">
        <v>53</v>
      </c>
      <c r="E15" s="1" t="s">
        <v>1054</v>
      </c>
      <c r="F15" s="1" t="s">
        <v>1116</v>
      </c>
      <c r="G15" s="11">
        <v>2</v>
      </c>
      <c r="H15" s="180" t="s">
        <v>1056</v>
      </c>
      <c r="I15" s="180" t="s">
        <v>1057</v>
      </c>
      <c r="J15" s="381" t="s">
        <v>1058</v>
      </c>
    </row>
    <row r="16" spans="1:12" x14ac:dyDescent="0.2">
      <c r="B16" s="10">
        <v>14</v>
      </c>
      <c r="C16" s="178" t="s">
        <v>1059</v>
      </c>
      <c r="D16" s="11" t="s">
        <v>53</v>
      </c>
      <c r="E16" s="1" t="s">
        <v>1060</v>
      </c>
      <c r="F16" s="1" t="s">
        <v>1061</v>
      </c>
      <c r="G16" s="11">
        <v>3</v>
      </c>
      <c r="H16" s="180" t="s">
        <v>1062</v>
      </c>
      <c r="I16" s="180" t="s">
        <v>1063</v>
      </c>
      <c r="J16" s="381" t="s">
        <v>1064</v>
      </c>
    </row>
    <row r="17" spans="1:10" x14ac:dyDescent="0.2">
      <c r="B17" s="10">
        <v>15</v>
      </c>
      <c r="C17" s="178" t="s">
        <v>1065</v>
      </c>
      <c r="D17" s="11" t="s">
        <v>53</v>
      </c>
      <c r="E17" s="1" t="s">
        <v>1066</v>
      </c>
      <c r="F17" s="1" t="s">
        <v>1067</v>
      </c>
      <c r="G17" s="11">
        <v>3</v>
      </c>
      <c r="H17" s="180" t="s">
        <v>1068</v>
      </c>
      <c r="I17" s="180" t="s">
        <v>1069</v>
      </c>
      <c r="J17" s="381" t="s">
        <v>1064</v>
      </c>
    </row>
    <row r="18" spans="1:10" x14ac:dyDescent="0.2">
      <c r="A18" s="234"/>
      <c r="B18" s="10">
        <v>16</v>
      </c>
      <c r="C18" s="178"/>
      <c r="D18" s="11" t="s">
        <v>53</v>
      </c>
      <c r="J18" s="381"/>
    </row>
    <row r="19" spans="1:10" x14ac:dyDescent="0.2">
      <c r="B19" s="10">
        <v>17</v>
      </c>
      <c r="D19" s="11" t="s">
        <v>53</v>
      </c>
    </row>
    <row r="20" spans="1:10" x14ac:dyDescent="0.2">
      <c r="B20" s="10">
        <v>18</v>
      </c>
      <c r="D20" s="11" t="s">
        <v>53</v>
      </c>
    </row>
    <row r="21" spans="1:10" x14ac:dyDescent="0.2">
      <c r="B21" s="10">
        <v>19</v>
      </c>
      <c r="D21" s="11" t="s">
        <v>53</v>
      </c>
    </row>
    <row r="22" spans="1:10" x14ac:dyDescent="0.2">
      <c r="B22" s="10">
        <v>20</v>
      </c>
      <c r="D22" s="11" t="s">
        <v>53</v>
      </c>
    </row>
    <row r="23" spans="1:10" x14ac:dyDescent="0.2">
      <c r="B23" s="10">
        <v>21</v>
      </c>
      <c r="D23" s="11" t="s">
        <v>53</v>
      </c>
    </row>
    <row r="24" spans="1:10" x14ac:dyDescent="0.2">
      <c r="B24" s="10">
        <v>22</v>
      </c>
      <c r="D24" s="11" t="s">
        <v>53</v>
      </c>
    </row>
    <row r="25" spans="1:10" x14ac:dyDescent="0.2">
      <c r="B25" s="10">
        <v>23</v>
      </c>
      <c r="C25" s="178"/>
      <c r="D25" s="11" t="s">
        <v>53</v>
      </c>
      <c r="E25" s="1"/>
      <c r="F25" s="1"/>
      <c r="H25" s="1"/>
      <c r="I25" s="1"/>
      <c r="J25" s="1"/>
    </row>
    <row r="26" spans="1:10" x14ac:dyDescent="0.2">
      <c r="B26" s="10">
        <v>24</v>
      </c>
      <c r="C26" s="178"/>
      <c r="D26" s="11" t="s">
        <v>53</v>
      </c>
      <c r="E26" s="1"/>
      <c r="F26" s="1"/>
      <c r="J26" s="1"/>
    </row>
    <row r="27" spans="1:10" x14ac:dyDescent="0.2">
      <c r="B27" s="10">
        <v>25</v>
      </c>
      <c r="C27" s="178"/>
      <c r="D27" s="11" t="s">
        <v>53</v>
      </c>
      <c r="E27" s="1"/>
      <c r="F27" s="1"/>
      <c r="J27" s="1"/>
    </row>
  </sheetData>
  <phoneticPr fontId="1"/>
  <pageMargins left="0" right="0" top="0.74803149606299213" bottom="0.74803149606299213" header="0.31496062992125984" footer="0.31496062992125984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7"/>
  <sheetViews>
    <sheetView zoomScale="85" zoomScaleNormal="85" workbookViewId="0">
      <selection activeCell="D40" sqref="D40"/>
    </sheetView>
    <sheetView workbookViewId="1">
      <selection activeCell="G35" sqref="G35"/>
    </sheetView>
  </sheetViews>
  <sheetFormatPr defaultColWidth="13" defaultRowHeight="13" x14ac:dyDescent="0.2"/>
  <cols>
    <col min="1" max="1" width="6.08984375" style="233" bestFit="1" customWidth="1"/>
    <col min="2" max="2" width="7" style="10" customWidth="1"/>
    <col min="3" max="3" width="4.6328125" style="10" customWidth="1"/>
    <col min="4" max="4" width="19.36328125" style="110" customWidth="1"/>
    <col min="5" max="5" width="7" style="11" bestFit="1" customWidth="1"/>
    <col min="6" max="7" width="8.90625" style="11" bestFit="1" customWidth="1"/>
    <col min="8" max="8" width="6" style="11" bestFit="1" customWidth="1"/>
    <col min="9" max="10" width="13" style="11" hidden="1" customWidth="1"/>
    <col min="11" max="11" width="10.26953125" style="11" bestFit="1" customWidth="1"/>
    <col min="12" max="16384" width="13" style="10"/>
  </cols>
  <sheetData>
    <row r="1" spans="1:12" x14ac:dyDescent="0.2">
      <c r="A1" s="233" t="s">
        <v>422</v>
      </c>
      <c r="B1" s="10" t="s">
        <v>138</v>
      </c>
    </row>
    <row r="2" spans="1:12" x14ac:dyDescent="0.2">
      <c r="B2" s="1" t="s">
        <v>130</v>
      </c>
      <c r="D2" s="110" t="s">
        <v>359</v>
      </c>
      <c r="E2" s="11" t="s">
        <v>131</v>
      </c>
      <c r="F2" s="11" t="s">
        <v>336</v>
      </c>
      <c r="G2" s="11" t="s">
        <v>363</v>
      </c>
      <c r="H2" s="11" t="s">
        <v>364</v>
      </c>
      <c r="I2" s="11" t="s">
        <v>132</v>
      </c>
      <c r="J2" s="11" t="s">
        <v>133</v>
      </c>
      <c r="K2" s="11" t="s">
        <v>360</v>
      </c>
    </row>
    <row r="3" spans="1:12" x14ac:dyDescent="0.2">
      <c r="A3" s="234">
        <v>1</v>
      </c>
      <c r="B3" s="10">
        <v>1</v>
      </c>
      <c r="C3" s="10">
        <v>1</v>
      </c>
      <c r="D3" s="178" t="s">
        <v>682</v>
      </c>
      <c r="E3" s="11" t="s">
        <v>22</v>
      </c>
      <c r="F3" s="1" t="s">
        <v>663</v>
      </c>
      <c r="G3" s="1" t="s">
        <v>664</v>
      </c>
      <c r="H3" s="11">
        <v>2</v>
      </c>
      <c r="K3" s="1" t="s">
        <v>661</v>
      </c>
    </row>
    <row r="4" spans="1:12" x14ac:dyDescent="0.2">
      <c r="C4" s="10">
        <v>2</v>
      </c>
      <c r="E4" s="11" t="s">
        <v>27</v>
      </c>
      <c r="F4" s="1" t="s">
        <v>665</v>
      </c>
      <c r="G4" s="1" t="s">
        <v>666</v>
      </c>
      <c r="H4" s="11">
        <v>2</v>
      </c>
    </row>
    <row r="5" spans="1:12" x14ac:dyDescent="0.2">
      <c r="C5" s="10">
        <v>3</v>
      </c>
      <c r="E5" s="11" t="s">
        <v>372</v>
      </c>
      <c r="F5" s="1" t="s">
        <v>667</v>
      </c>
      <c r="G5" s="1" t="s">
        <v>668</v>
      </c>
      <c r="H5" s="11">
        <v>2</v>
      </c>
    </row>
    <row r="6" spans="1:12" x14ac:dyDescent="0.2">
      <c r="A6" s="234"/>
      <c r="B6" s="10">
        <v>2</v>
      </c>
      <c r="C6" s="10">
        <v>4</v>
      </c>
      <c r="D6" s="178" t="s">
        <v>683</v>
      </c>
      <c r="E6" s="11" t="s">
        <v>22</v>
      </c>
      <c r="F6" s="1" t="s">
        <v>669</v>
      </c>
      <c r="G6" s="1" t="s">
        <v>561</v>
      </c>
      <c r="H6" s="11">
        <v>3</v>
      </c>
      <c r="K6" s="1" t="s">
        <v>661</v>
      </c>
    </row>
    <row r="7" spans="1:12" x14ac:dyDescent="0.2">
      <c r="C7" s="10">
        <v>5</v>
      </c>
      <c r="E7" s="11" t="s">
        <v>27</v>
      </c>
      <c r="F7" s="1" t="s">
        <v>559</v>
      </c>
      <c r="G7" s="1" t="s">
        <v>560</v>
      </c>
      <c r="H7" s="11">
        <v>3</v>
      </c>
    </row>
    <row r="8" spans="1:12" x14ac:dyDescent="0.2">
      <c r="C8" s="10">
        <v>6</v>
      </c>
      <c r="E8" s="11" t="s">
        <v>372</v>
      </c>
      <c r="F8" s="1" t="s">
        <v>585</v>
      </c>
      <c r="G8" s="1" t="s">
        <v>586</v>
      </c>
      <c r="H8" s="11">
        <v>3</v>
      </c>
    </row>
    <row r="9" spans="1:12" x14ac:dyDescent="0.2">
      <c r="A9" s="234"/>
      <c r="B9" s="10">
        <v>3</v>
      </c>
      <c r="C9" s="10">
        <v>7</v>
      </c>
      <c r="D9" s="178" t="s">
        <v>684</v>
      </c>
      <c r="E9" s="11" t="s">
        <v>22</v>
      </c>
      <c r="F9" s="1" t="s">
        <v>670</v>
      </c>
      <c r="G9" s="1" t="s">
        <v>671</v>
      </c>
      <c r="H9" s="11">
        <v>2</v>
      </c>
      <c r="K9" s="1" t="s">
        <v>661</v>
      </c>
      <c r="L9" s="1"/>
    </row>
    <row r="10" spans="1:12" x14ac:dyDescent="0.2">
      <c r="C10" s="10">
        <v>8</v>
      </c>
      <c r="E10" s="11" t="s">
        <v>27</v>
      </c>
      <c r="F10" s="1" t="s">
        <v>672</v>
      </c>
      <c r="G10" s="1" t="s">
        <v>673</v>
      </c>
      <c r="H10" s="11">
        <v>2</v>
      </c>
    </row>
    <row r="11" spans="1:12" x14ac:dyDescent="0.2">
      <c r="C11" s="10">
        <v>9</v>
      </c>
      <c r="E11" s="11" t="s">
        <v>372</v>
      </c>
      <c r="F11" s="11" t="s">
        <v>674</v>
      </c>
      <c r="G11" s="11" t="s">
        <v>675</v>
      </c>
      <c r="H11" s="11">
        <v>2</v>
      </c>
    </row>
    <row r="12" spans="1:12" x14ac:dyDescent="0.2">
      <c r="B12" s="10">
        <v>4</v>
      </c>
      <c r="C12" s="10">
        <v>10</v>
      </c>
      <c r="D12" s="178" t="s">
        <v>685</v>
      </c>
      <c r="E12" s="11" t="s">
        <v>22</v>
      </c>
      <c r="F12" s="1" t="s">
        <v>676</v>
      </c>
      <c r="G12" s="1" t="s">
        <v>677</v>
      </c>
      <c r="H12" s="11">
        <v>2</v>
      </c>
      <c r="K12" s="1" t="s">
        <v>661</v>
      </c>
    </row>
    <row r="13" spans="1:12" x14ac:dyDescent="0.2">
      <c r="C13" s="10">
        <v>11</v>
      </c>
      <c r="E13" s="11" t="s">
        <v>27</v>
      </c>
      <c r="F13" s="1" t="s">
        <v>678</v>
      </c>
      <c r="G13" s="1" t="s">
        <v>679</v>
      </c>
      <c r="H13" s="11">
        <v>2</v>
      </c>
    </row>
    <row r="14" spans="1:12" x14ac:dyDescent="0.2">
      <c r="C14" s="10">
        <v>12</v>
      </c>
      <c r="E14" s="11" t="s">
        <v>372</v>
      </c>
      <c r="F14" s="1" t="s">
        <v>680</v>
      </c>
      <c r="G14" s="1" t="s">
        <v>681</v>
      </c>
      <c r="H14" s="11">
        <v>2</v>
      </c>
    </row>
    <row r="15" spans="1:12" x14ac:dyDescent="0.2">
      <c r="A15" s="234" t="s">
        <v>1114</v>
      </c>
      <c r="B15" s="10">
        <v>5</v>
      </c>
      <c r="C15" s="10">
        <v>13</v>
      </c>
      <c r="D15" s="178" t="s">
        <v>801</v>
      </c>
      <c r="E15" s="11" t="s">
        <v>22</v>
      </c>
      <c r="F15" s="1" t="s">
        <v>804</v>
      </c>
      <c r="G15" s="1" t="s">
        <v>805</v>
      </c>
      <c r="H15" s="11">
        <v>3</v>
      </c>
      <c r="I15" s="11" t="s">
        <v>1057</v>
      </c>
      <c r="J15" s="427" t="s">
        <v>1058</v>
      </c>
      <c r="K15" s="1" t="s">
        <v>808</v>
      </c>
    </row>
    <row r="16" spans="1:12" x14ac:dyDescent="0.2">
      <c r="C16" s="10">
        <v>14</v>
      </c>
      <c r="E16" s="11" t="s">
        <v>27</v>
      </c>
      <c r="F16" s="1" t="s">
        <v>806</v>
      </c>
      <c r="G16" s="1" t="s">
        <v>807</v>
      </c>
      <c r="H16" s="11">
        <v>3</v>
      </c>
      <c r="I16" s="11" t="s">
        <v>1063</v>
      </c>
      <c r="J16" s="427" t="s">
        <v>1064</v>
      </c>
    </row>
    <row r="17" spans="1:11" x14ac:dyDescent="0.2">
      <c r="C17" s="10">
        <v>15</v>
      </c>
      <c r="E17" s="11" t="s">
        <v>372</v>
      </c>
      <c r="F17" s="1" t="s">
        <v>541</v>
      </c>
      <c r="G17" s="1" t="s">
        <v>542</v>
      </c>
      <c r="H17" s="11">
        <v>3</v>
      </c>
      <c r="I17" s="11" t="s">
        <v>1069</v>
      </c>
      <c r="J17" s="427" t="s">
        <v>1064</v>
      </c>
    </row>
    <row r="18" spans="1:11" x14ac:dyDescent="0.2">
      <c r="A18" s="234"/>
      <c r="B18" s="10">
        <v>6</v>
      </c>
      <c r="C18" s="10">
        <v>16</v>
      </c>
      <c r="D18" s="178" t="s">
        <v>802</v>
      </c>
      <c r="E18" s="11" t="s">
        <v>22</v>
      </c>
      <c r="F18" s="1" t="s">
        <v>809</v>
      </c>
      <c r="G18" s="1" t="s">
        <v>810</v>
      </c>
      <c r="H18" s="11">
        <v>3</v>
      </c>
      <c r="K18" s="1" t="s">
        <v>808</v>
      </c>
    </row>
    <row r="19" spans="1:11" x14ac:dyDescent="0.2">
      <c r="C19" s="10">
        <v>17</v>
      </c>
      <c r="E19" s="11" t="s">
        <v>27</v>
      </c>
      <c r="F19" s="1" t="s">
        <v>811</v>
      </c>
      <c r="G19" s="1" t="s">
        <v>812</v>
      </c>
      <c r="H19" s="11">
        <v>3</v>
      </c>
    </row>
    <row r="20" spans="1:11" x14ac:dyDescent="0.2">
      <c r="C20" s="10">
        <v>18</v>
      </c>
      <c r="E20" s="11" t="s">
        <v>372</v>
      </c>
      <c r="F20" s="1" t="s">
        <v>782</v>
      </c>
      <c r="G20" s="1" t="s">
        <v>783</v>
      </c>
      <c r="H20" s="11">
        <v>3</v>
      </c>
    </row>
    <row r="21" spans="1:11" x14ac:dyDescent="0.2">
      <c r="B21" s="10">
        <v>7</v>
      </c>
      <c r="C21" s="10">
        <v>19</v>
      </c>
      <c r="D21" s="178" t="s">
        <v>803</v>
      </c>
      <c r="E21" s="11" t="s">
        <v>22</v>
      </c>
      <c r="F21" s="1" t="s">
        <v>813</v>
      </c>
      <c r="G21" s="1" t="s">
        <v>814</v>
      </c>
      <c r="H21" s="11">
        <v>3</v>
      </c>
      <c r="K21" s="1" t="s">
        <v>815</v>
      </c>
    </row>
    <row r="22" spans="1:11" x14ac:dyDescent="0.2">
      <c r="C22" s="10">
        <v>20</v>
      </c>
      <c r="E22" s="11" t="s">
        <v>27</v>
      </c>
      <c r="F22" s="1" t="s">
        <v>576</v>
      </c>
      <c r="G22" s="1" t="s">
        <v>577</v>
      </c>
      <c r="H22" s="11">
        <v>3</v>
      </c>
    </row>
    <row r="23" spans="1:11" x14ac:dyDescent="0.2">
      <c r="C23" s="10">
        <v>21</v>
      </c>
      <c r="E23" s="11" t="s">
        <v>372</v>
      </c>
      <c r="F23" s="1" t="s">
        <v>580</v>
      </c>
      <c r="G23" s="1" t="s">
        <v>784</v>
      </c>
      <c r="H23" s="11">
        <v>3</v>
      </c>
    </row>
    <row r="24" spans="1:11" x14ac:dyDescent="0.2">
      <c r="B24" s="10">
        <v>8</v>
      </c>
      <c r="C24" s="10">
        <v>22</v>
      </c>
      <c r="D24" s="178" t="s">
        <v>830</v>
      </c>
      <c r="E24" s="11" t="s">
        <v>22</v>
      </c>
      <c r="F24" s="1" t="s">
        <v>832</v>
      </c>
      <c r="G24" s="1" t="s">
        <v>833</v>
      </c>
      <c r="H24" s="11">
        <v>2</v>
      </c>
      <c r="K24" s="1" t="s">
        <v>840</v>
      </c>
    </row>
    <row r="25" spans="1:11" x14ac:dyDescent="0.2">
      <c r="C25" s="10">
        <v>23</v>
      </c>
      <c r="E25" s="11" t="s">
        <v>27</v>
      </c>
      <c r="F25" s="1" t="s">
        <v>834</v>
      </c>
      <c r="G25" s="1" t="s">
        <v>835</v>
      </c>
      <c r="H25" s="1">
        <v>2</v>
      </c>
    </row>
    <row r="26" spans="1:11" x14ac:dyDescent="0.2">
      <c r="C26" s="10">
        <v>24</v>
      </c>
      <c r="E26" s="11" t="s">
        <v>372</v>
      </c>
      <c r="F26" s="1"/>
      <c r="G26" s="1"/>
    </row>
    <row r="27" spans="1:11" x14ac:dyDescent="0.2">
      <c r="A27" s="234"/>
      <c r="B27" s="10">
        <v>9</v>
      </c>
      <c r="C27" s="10">
        <v>25</v>
      </c>
      <c r="D27" s="178" t="s">
        <v>831</v>
      </c>
      <c r="E27" s="11" t="s">
        <v>22</v>
      </c>
      <c r="F27" s="1" t="s">
        <v>836</v>
      </c>
      <c r="G27" s="1" t="s">
        <v>837</v>
      </c>
      <c r="H27" s="11">
        <v>2</v>
      </c>
      <c r="K27" s="1" t="s">
        <v>840</v>
      </c>
    </row>
    <row r="28" spans="1:11" x14ac:dyDescent="0.2">
      <c r="C28" s="10">
        <v>26</v>
      </c>
      <c r="E28" s="11" t="s">
        <v>27</v>
      </c>
      <c r="F28" s="1" t="s">
        <v>838</v>
      </c>
      <c r="G28" s="1" t="s">
        <v>839</v>
      </c>
      <c r="H28" s="11">
        <v>2</v>
      </c>
    </row>
    <row r="29" spans="1:11" x14ac:dyDescent="0.2">
      <c r="C29" s="10">
        <v>27</v>
      </c>
      <c r="E29" s="11" t="s">
        <v>372</v>
      </c>
      <c r="F29" s="1"/>
      <c r="G29" s="1"/>
    </row>
    <row r="30" spans="1:11" x14ac:dyDescent="0.2">
      <c r="A30" s="234"/>
      <c r="B30" s="10">
        <v>10</v>
      </c>
      <c r="C30" s="10">
        <v>28</v>
      </c>
      <c r="D30" s="178" t="s">
        <v>887</v>
      </c>
      <c r="E30" s="11" t="s">
        <v>22</v>
      </c>
      <c r="F30" s="1" t="s">
        <v>888</v>
      </c>
      <c r="G30" s="1" t="s">
        <v>889</v>
      </c>
      <c r="H30" s="11">
        <v>2</v>
      </c>
      <c r="K30" s="1" t="s">
        <v>892</v>
      </c>
    </row>
    <row r="31" spans="1:11" x14ac:dyDescent="0.2">
      <c r="C31" s="10">
        <v>29</v>
      </c>
      <c r="E31" s="11" t="s">
        <v>27</v>
      </c>
      <c r="F31" s="1" t="s">
        <v>890</v>
      </c>
      <c r="G31" s="1" t="s">
        <v>891</v>
      </c>
      <c r="H31" s="11">
        <v>2</v>
      </c>
    </row>
    <row r="32" spans="1:11" x14ac:dyDescent="0.2">
      <c r="C32" s="10">
        <v>30</v>
      </c>
      <c r="E32" s="11" t="s">
        <v>372</v>
      </c>
      <c r="F32" s="1"/>
      <c r="G32" s="1"/>
    </row>
    <row r="33" spans="1:11" x14ac:dyDescent="0.2">
      <c r="B33" s="10">
        <v>11</v>
      </c>
      <c r="C33" s="10">
        <v>31</v>
      </c>
      <c r="D33" s="178" t="s">
        <v>905</v>
      </c>
      <c r="E33" s="11" t="s">
        <v>22</v>
      </c>
      <c r="F33" s="1" t="s">
        <v>906</v>
      </c>
      <c r="G33" s="179" t="s">
        <v>907</v>
      </c>
      <c r="H33" s="11">
        <v>2</v>
      </c>
      <c r="K33" s="1" t="s">
        <v>966</v>
      </c>
    </row>
    <row r="34" spans="1:11" x14ac:dyDescent="0.2">
      <c r="C34" s="10">
        <v>32</v>
      </c>
      <c r="E34" s="11" t="s">
        <v>27</v>
      </c>
      <c r="F34" s="1" t="s">
        <v>908</v>
      </c>
      <c r="G34" s="179" t="s">
        <v>909</v>
      </c>
      <c r="H34" s="11">
        <v>2</v>
      </c>
    </row>
    <row r="35" spans="1:11" x14ac:dyDescent="0.2">
      <c r="C35" s="10">
        <v>33</v>
      </c>
      <c r="E35" s="11" t="s">
        <v>372</v>
      </c>
      <c r="F35" s="1" t="s">
        <v>911</v>
      </c>
      <c r="G35" s="1" t="s">
        <v>912</v>
      </c>
      <c r="H35" s="11">
        <v>2</v>
      </c>
      <c r="K35" s="1"/>
    </row>
    <row r="36" spans="1:11" x14ac:dyDescent="0.2">
      <c r="A36" s="234"/>
      <c r="B36" s="10">
        <v>12</v>
      </c>
      <c r="C36" s="10">
        <v>34</v>
      </c>
      <c r="D36" s="178" t="s">
        <v>980</v>
      </c>
      <c r="E36" s="11" t="s">
        <v>22</v>
      </c>
      <c r="F36" s="1" t="s">
        <v>533</v>
      </c>
      <c r="G36" s="1" t="s">
        <v>991</v>
      </c>
      <c r="H36" s="11">
        <v>2</v>
      </c>
      <c r="K36" s="1" t="s">
        <v>997</v>
      </c>
    </row>
    <row r="37" spans="1:11" x14ac:dyDescent="0.2">
      <c r="C37" s="10">
        <v>35</v>
      </c>
      <c r="E37" s="11" t="s">
        <v>27</v>
      </c>
      <c r="F37" s="1" t="s">
        <v>992</v>
      </c>
      <c r="G37" s="179" t="s">
        <v>993</v>
      </c>
      <c r="H37" s="11">
        <v>2</v>
      </c>
    </row>
    <row r="38" spans="1:11" x14ac:dyDescent="0.2">
      <c r="C38" s="10">
        <v>36</v>
      </c>
      <c r="E38" s="11" t="s">
        <v>372</v>
      </c>
      <c r="F38" s="1" t="s">
        <v>995</v>
      </c>
      <c r="G38" s="179" t="s">
        <v>996</v>
      </c>
      <c r="H38" s="11">
        <v>2</v>
      </c>
    </row>
    <row r="39" spans="1:11" x14ac:dyDescent="0.2">
      <c r="B39" s="10">
        <v>13</v>
      </c>
      <c r="C39" s="10">
        <v>37</v>
      </c>
      <c r="D39" s="178"/>
      <c r="E39" s="11" t="s">
        <v>22</v>
      </c>
      <c r="F39" s="1"/>
      <c r="G39" s="179"/>
    </row>
    <row r="40" spans="1:11" x14ac:dyDescent="0.2">
      <c r="C40" s="10">
        <v>38</v>
      </c>
      <c r="E40" s="11" t="s">
        <v>27</v>
      </c>
      <c r="F40" s="1"/>
      <c r="G40" s="179"/>
    </row>
    <row r="41" spans="1:11" x14ac:dyDescent="0.2">
      <c r="C41" s="10">
        <v>39</v>
      </c>
      <c r="E41" s="11" t="s">
        <v>372</v>
      </c>
      <c r="F41" s="1"/>
      <c r="G41" s="179"/>
    </row>
    <row r="42" spans="1:11" x14ac:dyDescent="0.2">
      <c r="B42" s="10">
        <v>14</v>
      </c>
      <c r="C42" s="10">
        <v>40</v>
      </c>
      <c r="D42" s="178"/>
      <c r="E42" s="11" t="s">
        <v>22</v>
      </c>
      <c r="F42" s="1"/>
      <c r="G42" s="179"/>
    </row>
    <row r="43" spans="1:11" x14ac:dyDescent="0.2">
      <c r="C43" s="10">
        <v>41</v>
      </c>
      <c r="E43" s="11" t="s">
        <v>27</v>
      </c>
      <c r="F43" s="1"/>
      <c r="G43" s="1"/>
    </row>
    <row r="44" spans="1:11" x14ac:dyDescent="0.2">
      <c r="C44" s="10">
        <v>42</v>
      </c>
      <c r="E44" s="11" t="s">
        <v>372</v>
      </c>
      <c r="F44" s="1"/>
      <c r="G44" s="179"/>
      <c r="K44" s="1"/>
    </row>
    <row r="45" spans="1:11" x14ac:dyDescent="0.2">
      <c r="A45" s="234"/>
      <c r="B45" s="10">
        <v>15</v>
      </c>
      <c r="C45" s="10">
        <v>43</v>
      </c>
      <c r="D45" s="178"/>
      <c r="E45" s="11" t="s">
        <v>22</v>
      </c>
      <c r="F45" s="1"/>
      <c r="G45" s="1"/>
    </row>
    <row r="46" spans="1:11" x14ac:dyDescent="0.2">
      <c r="C46" s="10">
        <v>44</v>
      </c>
      <c r="E46" s="11" t="s">
        <v>27</v>
      </c>
      <c r="F46" s="1"/>
      <c r="G46" s="1"/>
    </row>
    <row r="47" spans="1:11" x14ac:dyDescent="0.2">
      <c r="C47" s="10">
        <v>45</v>
      </c>
      <c r="E47" s="11" t="s">
        <v>372</v>
      </c>
      <c r="F47" s="1"/>
      <c r="G47" s="1"/>
    </row>
    <row r="48" spans="1:11" x14ac:dyDescent="0.2">
      <c r="B48" s="10">
        <v>16</v>
      </c>
      <c r="C48" s="10">
        <v>46</v>
      </c>
      <c r="D48" s="178"/>
      <c r="E48" s="11" t="s">
        <v>22</v>
      </c>
      <c r="F48" s="1"/>
      <c r="G48" s="1"/>
    </row>
    <row r="49" spans="1:11" x14ac:dyDescent="0.2">
      <c r="C49" s="10">
        <v>47</v>
      </c>
      <c r="E49" s="11" t="s">
        <v>27</v>
      </c>
      <c r="F49" s="1"/>
      <c r="G49" s="1"/>
    </row>
    <row r="50" spans="1:11" x14ac:dyDescent="0.2">
      <c r="C50" s="10">
        <v>48</v>
      </c>
      <c r="E50" s="11" t="s">
        <v>372</v>
      </c>
      <c r="F50" s="1"/>
      <c r="G50" s="1"/>
    </row>
    <row r="51" spans="1:11" x14ac:dyDescent="0.2">
      <c r="A51" s="234"/>
      <c r="B51" s="10">
        <v>17</v>
      </c>
      <c r="C51" s="10">
        <v>49</v>
      </c>
      <c r="D51" s="178"/>
      <c r="E51" s="11" t="s">
        <v>22</v>
      </c>
      <c r="F51" s="1"/>
      <c r="G51" s="1"/>
      <c r="K51" s="1"/>
    </row>
    <row r="52" spans="1:11" x14ac:dyDescent="0.2">
      <c r="C52" s="10">
        <v>50</v>
      </c>
      <c r="E52" s="11" t="s">
        <v>27</v>
      </c>
      <c r="F52" s="1"/>
      <c r="G52" s="1"/>
    </row>
    <row r="53" spans="1:11" x14ac:dyDescent="0.2">
      <c r="C53" s="10">
        <v>51</v>
      </c>
      <c r="E53" s="11" t="s">
        <v>372</v>
      </c>
      <c r="F53" s="1"/>
      <c r="G53" s="1"/>
    </row>
    <row r="54" spans="1:11" x14ac:dyDescent="0.2">
      <c r="B54" s="10">
        <v>18</v>
      </c>
      <c r="C54" s="10">
        <v>52</v>
      </c>
      <c r="D54" s="178"/>
      <c r="E54" s="11" t="s">
        <v>22</v>
      </c>
      <c r="F54" s="1"/>
      <c r="G54" s="179"/>
      <c r="K54" s="1"/>
    </row>
    <row r="55" spans="1:11" x14ac:dyDescent="0.2">
      <c r="C55" s="10">
        <v>53</v>
      </c>
      <c r="E55" s="11" t="s">
        <v>27</v>
      </c>
      <c r="F55" s="1"/>
      <c r="G55" s="1"/>
    </row>
    <row r="56" spans="1:11" x14ac:dyDescent="0.2">
      <c r="C56" s="10">
        <v>54</v>
      </c>
      <c r="E56" s="11" t="s">
        <v>372</v>
      </c>
      <c r="F56" s="1"/>
      <c r="G56" s="179"/>
    </row>
    <row r="57" spans="1:11" x14ac:dyDescent="0.2">
      <c r="B57" s="10">
        <v>19</v>
      </c>
      <c r="C57" s="10">
        <v>55</v>
      </c>
      <c r="D57" s="178"/>
      <c r="E57" s="11" t="s">
        <v>22</v>
      </c>
      <c r="F57" s="1"/>
      <c r="G57" s="1"/>
      <c r="K57" s="1"/>
    </row>
    <row r="58" spans="1:11" x14ac:dyDescent="0.2">
      <c r="C58" s="10">
        <v>56</v>
      </c>
      <c r="E58" s="11" t="s">
        <v>27</v>
      </c>
      <c r="F58" s="1"/>
      <c r="G58" s="1"/>
    </row>
    <row r="59" spans="1:11" x14ac:dyDescent="0.2">
      <c r="C59" s="10">
        <v>57</v>
      </c>
      <c r="E59" s="11" t="s">
        <v>372</v>
      </c>
      <c r="F59" s="1"/>
      <c r="G59" s="1"/>
    </row>
    <row r="60" spans="1:11" x14ac:dyDescent="0.2">
      <c r="B60" s="10">
        <v>20</v>
      </c>
      <c r="C60" s="10">
        <v>58</v>
      </c>
      <c r="D60" s="178"/>
      <c r="E60" s="11" t="s">
        <v>22</v>
      </c>
      <c r="F60" s="1"/>
      <c r="G60" s="1"/>
      <c r="K60" s="1"/>
    </row>
    <row r="61" spans="1:11" x14ac:dyDescent="0.2">
      <c r="C61" s="10">
        <v>59</v>
      </c>
      <c r="E61" s="11" t="s">
        <v>27</v>
      </c>
      <c r="F61" s="1"/>
      <c r="G61" s="1"/>
      <c r="K61" s="1"/>
    </row>
    <row r="62" spans="1:11" x14ac:dyDescent="0.2">
      <c r="C62" s="10">
        <v>60</v>
      </c>
      <c r="E62" s="11" t="s">
        <v>372</v>
      </c>
      <c r="F62" s="1"/>
      <c r="G62" s="1"/>
    </row>
    <row r="63" spans="1:11" x14ac:dyDescent="0.2">
      <c r="B63" s="10">
        <v>21</v>
      </c>
      <c r="C63" s="10">
        <v>61</v>
      </c>
      <c r="D63" s="178"/>
      <c r="E63" s="11" t="s">
        <v>22</v>
      </c>
      <c r="F63" s="1"/>
      <c r="G63" s="1"/>
      <c r="K63" s="1"/>
    </row>
    <row r="64" spans="1:11" x14ac:dyDescent="0.2">
      <c r="C64" s="10">
        <v>62</v>
      </c>
      <c r="E64" s="11" t="s">
        <v>27</v>
      </c>
      <c r="F64" s="1"/>
      <c r="G64" s="1"/>
    </row>
    <row r="65" spans="2:11" x14ac:dyDescent="0.2">
      <c r="C65" s="10">
        <v>63</v>
      </c>
      <c r="E65" s="11" t="s">
        <v>372</v>
      </c>
      <c r="F65" s="1"/>
      <c r="G65" s="1"/>
    </row>
    <row r="66" spans="2:11" x14ac:dyDescent="0.2">
      <c r="B66" s="10">
        <v>22</v>
      </c>
      <c r="C66" s="10">
        <v>64</v>
      </c>
      <c r="D66" s="178"/>
      <c r="E66" s="11" t="s">
        <v>22</v>
      </c>
      <c r="F66" s="1"/>
      <c r="G66" s="1"/>
      <c r="K66" s="1"/>
    </row>
    <row r="67" spans="2:11" x14ac:dyDescent="0.2">
      <c r="C67" s="10">
        <v>65</v>
      </c>
      <c r="E67" s="11" t="s">
        <v>27</v>
      </c>
      <c r="F67" s="1"/>
      <c r="G67" s="1"/>
    </row>
    <row r="68" spans="2:11" x14ac:dyDescent="0.2">
      <c r="C68" s="10">
        <v>66</v>
      </c>
      <c r="E68" s="11" t="s">
        <v>372</v>
      </c>
    </row>
    <row r="69" spans="2:11" x14ac:dyDescent="0.2">
      <c r="B69" s="10">
        <v>23</v>
      </c>
      <c r="C69" s="10">
        <v>67</v>
      </c>
      <c r="E69" s="11" t="s">
        <v>22</v>
      </c>
    </row>
    <row r="70" spans="2:11" x14ac:dyDescent="0.2">
      <c r="C70" s="10">
        <v>68</v>
      </c>
      <c r="E70" s="11" t="s">
        <v>27</v>
      </c>
    </row>
    <row r="71" spans="2:11" x14ac:dyDescent="0.2">
      <c r="C71" s="10">
        <v>69</v>
      </c>
      <c r="E71" s="11" t="s">
        <v>372</v>
      </c>
    </row>
    <row r="72" spans="2:11" x14ac:dyDescent="0.2">
      <c r="B72" s="10">
        <v>24</v>
      </c>
      <c r="C72" s="10">
        <v>73</v>
      </c>
      <c r="E72" s="11" t="s">
        <v>134</v>
      </c>
    </row>
    <row r="73" spans="2:11" x14ac:dyDescent="0.2">
      <c r="C73" s="10">
        <v>74</v>
      </c>
      <c r="E73" s="11" t="s">
        <v>139</v>
      </c>
    </row>
    <row r="74" spans="2:11" x14ac:dyDescent="0.2">
      <c r="C74" s="10">
        <v>75</v>
      </c>
      <c r="E74" s="11" t="s">
        <v>372</v>
      </c>
    </row>
    <row r="75" spans="2:11" x14ac:dyDescent="0.2">
      <c r="B75" s="10">
        <v>25</v>
      </c>
      <c r="C75" s="10">
        <v>76</v>
      </c>
      <c r="E75" s="11" t="s">
        <v>134</v>
      </c>
    </row>
    <row r="76" spans="2:11" x14ac:dyDescent="0.2">
      <c r="C76" s="10">
        <v>77</v>
      </c>
      <c r="E76" s="11" t="s">
        <v>139</v>
      </c>
    </row>
    <row r="77" spans="2:11" x14ac:dyDescent="0.2">
      <c r="C77" s="10">
        <v>78</v>
      </c>
      <c r="E77" s="11" t="s">
        <v>372</v>
      </c>
    </row>
    <row r="78" spans="2:11" x14ac:dyDescent="0.2">
      <c r="B78" s="10">
        <v>26</v>
      </c>
      <c r="C78" s="10">
        <v>79</v>
      </c>
      <c r="E78" s="11" t="s">
        <v>134</v>
      </c>
    </row>
    <row r="79" spans="2:11" x14ac:dyDescent="0.2">
      <c r="C79" s="10">
        <v>80</v>
      </c>
      <c r="E79" s="11" t="s">
        <v>139</v>
      </c>
    </row>
    <row r="80" spans="2:11" x14ac:dyDescent="0.2">
      <c r="C80" s="10">
        <v>81</v>
      </c>
      <c r="E80" s="11" t="s">
        <v>372</v>
      </c>
    </row>
    <row r="81" spans="2:11" x14ac:dyDescent="0.2">
      <c r="B81" s="10">
        <v>27</v>
      </c>
      <c r="C81" s="10">
        <v>82</v>
      </c>
      <c r="E81" s="11" t="s">
        <v>134</v>
      </c>
    </row>
    <row r="82" spans="2:11" x14ac:dyDescent="0.2">
      <c r="C82" s="10">
        <v>83</v>
      </c>
      <c r="E82" s="11" t="s">
        <v>139</v>
      </c>
    </row>
    <row r="83" spans="2:11" x14ac:dyDescent="0.2">
      <c r="C83" s="10">
        <v>84</v>
      </c>
      <c r="E83" s="11" t="s">
        <v>372</v>
      </c>
    </row>
    <row r="84" spans="2:11" x14ac:dyDescent="0.2">
      <c r="B84" s="10">
        <v>28</v>
      </c>
      <c r="C84" s="10">
        <v>85</v>
      </c>
      <c r="E84" s="11" t="s">
        <v>134</v>
      </c>
    </row>
    <row r="85" spans="2:11" x14ac:dyDescent="0.2">
      <c r="C85" s="10">
        <v>86</v>
      </c>
      <c r="E85" s="11" t="s">
        <v>139</v>
      </c>
    </row>
    <row r="86" spans="2:11" x14ac:dyDescent="0.2">
      <c r="C86" s="10">
        <v>87</v>
      </c>
      <c r="E86" s="11" t="s">
        <v>372</v>
      </c>
    </row>
    <row r="87" spans="2:11" x14ac:dyDescent="0.2">
      <c r="B87" s="10">
        <v>29</v>
      </c>
      <c r="C87" s="10">
        <v>88</v>
      </c>
      <c r="E87" s="11" t="s">
        <v>134</v>
      </c>
    </row>
    <row r="88" spans="2:11" x14ac:dyDescent="0.2">
      <c r="C88" s="10">
        <v>89</v>
      </c>
      <c r="E88" s="11" t="s">
        <v>139</v>
      </c>
    </row>
    <row r="89" spans="2:11" x14ac:dyDescent="0.2">
      <c r="C89" s="10">
        <v>90</v>
      </c>
      <c r="E89" s="11" t="s">
        <v>372</v>
      </c>
    </row>
    <row r="90" spans="2:11" x14ac:dyDescent="0.2">
      <c r="B90" s="10">
        <v>30</v>
      </c>
      <c r="C90" s="10">
        <v>91</v>
      </c>
      <c r="D90" s="178"/>
      <c r="E90" s="11" t="s">
        <v>134</v>
      </c>
      <c r="F90" s="1"/>
      <c r="G90" s="1"/>
      <c r="K90" s="1"/>
    </row>
    <row r="91" spans="2:11" x14ac:dyDescent="0.2">
      <c r="C91" s="10">
        <v>92</v>
      </c>
      <c r="E91" s="11" t="s">
        <v>139</v>
      </c>
      <c r="F91" s="1"/>
      <c r="G91" s="1"/>
    </row>
    <row r="92" spans="2:11" x14ac:dyDescent="0.2">
      <c r="C92" s="10">
        <v>93</v>
      </c>
      <c r="E92" s="11" t="s">
        <v>372</v>
      </c>
    </row>
    <row r="93" spans="2:11" x14ac:dyDescent="0.2">
      <c r="B93" s="10">
        <v>31</v>
      </c>
      <c r="C93" s="10">
        <v>94</v>
      </c>
      <c r="D93" s="178"/>
      <c r="E93" s="11" t="s">
        <v>134</v>
      </c>
      <c r="F93" s="1"/>
      <c r="G93" s="1"/>
      <c r="K93" s="1"/>
    </row>
    <row r="94" spans="2:11" x14ac:dyDescent="0.2">
      <c r="C94" s="10">
        <v>95</v>
      </c>
      <c r="E94" s="11" t="s">
        <v>139</v>
      </c>
      <c r="F94" s="1"/>
      <c r="G94" s="1"/>
    </row>
    <row r="95" spans="2:11" x14ac:dyDescent="0.2">
      <c r="C95" s="10">
        <v>96</v>
      </c>
      <c r="E95" s="11" t="s">
        <v>372</v>
      </c>
    </row>
    <row r="96" spans="2:11" x14ac:dyDescent="0.2">
      <c r="D96" s="178"/>
      <c r="F96" s="1"/>
      <c r="G96" s="1"/>
      <c r="K96" s="1"/>
    </row>
    <row r="97" spans="6:7" x14ac:dyDescent="0.2">
      <c r="F97" s="1"/>
      <c r="G97" s="1"/>
    </row>
  </sheetData>
  <phoneticPr fontId="1"/>
  <pageMargins left="0.61" right="0.43" top="1" bottom="1.2" header="0.51200000000000001" footer="0.51200000000000001"/>
  <pageSetup paperSize="9" scale="98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7"/>
  <sheetViews>
    <sheetView zoomScale="120" zoomScaleNormal="120" workbookViewId="0">
      <selection activeCell="D19" sqref="D19"/>
    </sheetView>
    <sheetView workbookViewId="1">
      <selection activeCell="D12" sqref="D12"/>
    </sheetView>
  </sheetViews>
  <sheetFormatPr defaultColWidth="13" defaultRowHeight="13" x14ac:dyDescent="0.2"/>
  <cols>
    <col min="1" max="1" width="6.08984375" style="233" bestFit="1" customWidth="1"/>
    <col min="2" max="2" width="6.6328125" style="11" customWidth="1"/>
    <col min="3" max="3" width="5.08984375" style="10" bestFit="1" customWidth="1"/>
    <col min="4" max="4" width="16.6328125" style="110" bestFit="1" customWidth="1"/>
    <col min="5" max="5" width="7" style="11" bestFit="1" customWidth="1"/>
    <col min="6" max="7" width="8.90625" style="11" bestFit="1" customWidth="1"/>
    <col min="8" max="8" width="6.08984375" style="11" bestFit="1" customWidth="1"/>
    <col min="9" max="10" width="0" style="11" hidden="1" customWidth="1"/>
    <col min="11" max="11" width="12.7265625" style="11" bestFit="1" customWidth="1"/>
    <col min="12" max="16384" width="13" style="10"/>
  </cols>
  <sheetData>
    <row r="1" spans="1:11" x14ac:dyDescent="0.2">
      <c r="A1" s="233" t="s">
        <v>422</v>
      </c>
      <c r="B1" s="11" t="s">
        <v>141</v>
      </c>
    </row>
    <row r="2" spans="1:11" x14ac:dyDescent="0.2">
      <c r="B2" s="11" t="s">
        <v>142</v>
      </c>
      <c r="D2" s="110" t="s">
        <v>339</v>
      </c>
      <c r="E2" s="11" t="s">
        <v>143</v>
      </c>
      <c r="F2" s="11" t="s">
        <v>336</v>
      </c>
      <c r="G2" s="11" t="s">
        <v>363</v>
      </c>
      <c r="H2" s="11" t="s">
        <v>364</v>
      </c>
      <c r="I2" s="11" t="s">
        <v>132</v>
      </c>
      <c r="J2" s="11" t="s">
        <v>133</v>
      </c>
      <c r="K2" s="11" t="s">
        <v>360</v>
      </c>
    </row>
    <row r="3" spans="1:11" x14ac:dyDescent="0.2">
      <c r="A3" s="234">
        <v>4</v>
      </c>
      <c r="B3" s="11">
        <v>1</v>
      </c>
      <c r="C3" s="10">
        <v>1</v>
      </c>
      <c r="D3" s="178" t="s">
        <v>740</v>
      </c>
      <c r="E3" s="11" t="s">
        <v>53</v>
      </c>
      <c r="F3" s="1" t="s">
        <v>741</v>
      </c>
      <c r="G3" s="1" t="s">
        <v>742</v>
      </c>
      <c r="H3" s="11">
        <v>3</v>
      </c>
      <c r="K3" s="1" t="s">
        <v>747</v>
      </c>
    </row>
    <row r="4" spans="1:11" x14ac:dyDescent="0.2">
      <c r="C4" s="10">
        <v>2</v>
      </c>
      <c r="E4" s="11" t="s">
        <v>54</v>
      </c>
      <c r="F4" s="1" t="s">
        <v>743</v>
      </c>
      <c r="G4" s="1" t="s">
        <v>744</v>
      </c>
      <c r="H4" s="11">
        <v>3</v>
      </c>
    </row>
    <row r="5" spans="1:11" x14ac:dyDescent="0.2">
      <c r="C5" s="10">
        <v>3</v>
      </c>
      <c r="E5" s="11" t="s">
        <v>372</v>
      </c>
      <c r="F5" s="1" t="s">
        <v>745</v>
      </c>
      <c r="G5" s="1" t="s">
        <v>746</v>
      </c>
      <c r="H5" s="11">
        <v>2</v>
      </c>
    </row>
    <row r="6" spans="1:11" x14ac:dyDescent="0.2">
      <c r="A6" s="234" t="s">
        <v>1115</v>
      </c>
      <c r="B6" s="11">
        <v>2</v>
      </c>
      <c r="C6" s="10">
        <v>4</v>
      </c>
      <c r="D6" s="178" t="s">
        <v>770</v>
      </c>
      <c r="E6" s="11" t="s">
        <v>53</v>
      </c>
      <c r="F6" s="1" t="s">
        <v>568</v>
      </c>
      <c r="G6" s="1" t="s">
        <v>569</v>
      </c>
      <c r="H6" s="11">
        <v>3</v>
      </c>
      <c r="K6" s="1" t="s">
        <v>771</v>
      </c>
    </row>
    <row r="7" spans="1:11" x14ac:dyDescent="0.2">
      <c r="C7" s="10">
        <v>5</v>
      </c>
      <c r="E7" s="11" t="s">
        <v>18</v>
      </c>
      <c r="F7" s="1" t="s">
        <v>589</v>
      </c>
      <c r="G7" s="1" t="s">
        <v>590</v>
      </c>
      <c r="H7" s="11">
        <v>3</v>
      </c>
    </row>
    <row r="8" spans="1:11" x14ac:dyDescent="0.2">
      <c r="C8" s="10">
        <v>6</v>
      </c>
      <c r="E8" s="11" t="s">
        <v>372</v>
      </c>
      <c r="F8" s="1" t="s">
        <v>591</v>
      </c>
      <c r="G8" s="1" t="s">
        <v>592</v>
      </c>
      <c r="H8" s="11">
        <v>3</v>
      </c>
    </row>
    <row r="9" spans="1:11" x14ac:dyDescent="0.2">
      <c r="A9" s="233">
        <v>5</v>
      </c>
      <c r="B9" s="11">
        <v>3</v>
      </c>
      <c r="C9" s="10">
        <v>7</v>
      </c>
      <c r="D9" s="178" t="s">
        <v>1006</v>
      </c>
      <c r="E9" s="11" t="s">
        <v>53</v>
      </c>
      <c r="F9" s="1" t="s">
        <v>1044</v>
      </c>
      <c r="G9" s="1" t="s">
        <v>1045</v>
      </c>
      <c r="H9" s="11">
        <v>2</v>
      </c>
      <c r="K9" s="1" t="s">
        <v>1050</v>
      </c>
    </row>
    <row r="10" spans="1:11" x14ac:dyDescent="0.2">
      <c r="C10" s="10">
        <v>8</v>
      </c>
      <c r="E10" s="11" t="s">
        <v>18</v>
      </c>
      <c r="F10" s="1" t="s">
        <v>1046</v>
      </c>
      <c r="G10" s="1" t="s">
        <v>1047</v>
      </c>
      <c r="H10" s="11">
        <v>2</v>
      </c>
    </row>
    <row r="11" spans="1:11" x14ac:dyDescent="0.2">
      <c r="C11" s="10">
        <v>9</v>
      </c>
      <c r="E11" s="11" t="s">
        <v>372</v>
      </c>
      <c r="F11" s="1" t="s">
        <v>1048</v>
      </c>
      <c r="G11" s="1" t="s">
        <v>1049</v>
      </c>
      <c r="H11" s="11">
        <v>1</v>
      </c>
    </row>
    <row r="12" spans="1:11" x14ac:dyDescent="0.2">
      <c r="A12" s="233">
        <v>2</v>
      </c>
      <c r="B12" s="11">
        <v>4</v>
      </c>
      <c r="C12" s="10">
        <v>10</v>
      </c>
      <c r="D12" s="178" t="s">
        <v>980</v>
      </c>
      <c r="E12" s="11" t="s">
        <v>53</v>
      </c>
      <c r="F12" s="1" t="s">
        <v>1051</v>
      </c>
      <c r="G12" s="1" t="s">
        <v>1052</v>
      </c>
      <c r="H12" s="11">
        <v>3</v>
      </c>
      <c r="K12" s="1" t="s">
        <v>994</v>
      </c>
    </row>
    <row r="13" spans="1:11" x14ac:dyDescent="0.2">
      <c r="C13" s="10">
        <v>11</v>
      </c>
      <c r="E13" s="11" t="s">
        <v>18</v>
      </c>
      <c r="F13" s="1" t="s">
        <v>567</v>
      </c>
      <c r="G13" s="1" t="s">
        <v>1053</v>
      </c>
      <c r="H13" s="11">
        <v>3</v>
      </c>
    </row>
    <row r="14" spans="1:11" x14ac:dyDescent="0.2">
      <c r="C14" s="10">
        <v>12</v>
      </c>
      <c r="E14" s="11" t="s">
        <v>372</v>
      </c>
      <c r="F14" s="1" t="s">
        <v>1054</v>
      </c>
      <c r="G14" s="1" t="s">
        <v>1055</v>
      </c>
      <c r="H14" s="11">
        <v>2</v>
      </c>
    </row>
    <row r="15" spans="1:11" x14ac:dyDescent="0.2">
      <c r="A15" s="234"/>
      <c r="B15" s="11">
        <v>5</v>
      </c>
      <c r="C15" s="10">
        <v>13</v>
      </c>
      <c r="D15" s="178"/>
      <c r="E15" s="11" t="s">
        <v>53</v>
      </c>
      <c r="F15" s="1"/>
      <c r="G15" s="1"/>
      <c r="K15" s="1"/>
    </row>
    <row r="16" spans="1:11" x14ac:dyDescent="0.2">
      <c r="C16" s="10">
        <v>14</v>
      </c>
      <c r="E16" s="11" t="s">
        <v>18</v>
      </c>
      <c r="F16" s="1"/>
      <c r="G16" s="1"/>
    </row>
    <row r="17" spans="2:11" x14ac:dyDescent="0.2">
      <c r="C17" s="10">
        <v>15</v>
      </c>
      <c r="E17" s="11" t="s">
        <v>372</v>
      </c>
      <c r="F17" s="1"/>
      <c r="G17" s="1"/>
    </row>
    <row r="18" spans="2:11" x14ac:dyDescent="0.2">
      <c r="B18" s="11">
        <v>6</v>
      </c>
      <c r="C18" s="10">
        <v>16</v>
      </c>
      <c r="D18" s="178"/>
      <c r="E18" s="11" t="s">
        <v>53</v>
      </c>
      <c r="F18" s="1"/>
      <c r="G18" s="1"/>
      <c r="K18" s="1"/>
    </row>
    <row r="19" spans="2:11" x14ac:dyDescent="0.2">
      <c r="C19" s="10">
        <v>17</v>
      </c>
      <c r="E19" s="11" t="s">
        <v>54</v>
      </c>
      <c r="F19" s="1"/>
      <c r="G19" s="1"/>
    </row>
    <row r="20" spans="2:11" x14ac:dyDescent="0.2">
      <c r="C20" s="10">
        <v>18</v>
      </c>
      <c r="E20" s="11" t="s">
        <v>372</v>
      </c>
      <c r="F20" s="1"/>
      <c r="G20" s="1"/>
    </row>
    <row r="21" spans="2:11" x14ac:dyDescent="0.2">
      <c r="B21" s="11">
        <v>7</v>
      </c>
      <c r="C21" s="10">
        <v>19</v>
      </c>
      <c r="D21" s="178"/>
      <c r="E21" s="11" t="s">
        <v>53</v>
      </c>
      <c r="F21" s="1"/>
      <c r="G21" s="1"/>
      <c r="K21" s="1"/>
    </row>
    <row r="22" spans="2:11" x14ac:dyDescent="0.2">
      <c r="C22" s="10">
        <v>20</v>
      </c>
      <c r="E22" s="11" t="s">
        <v>54</v>
      </c>
      <c r="F22" s="1"/>
      <c r="G22" s="1"/>
    </row>
    <row r="23" spans="2:11" x14ac:dyDescent="0.2">
      <c r="C23" s="10">
        <v>21</v>
      </c>
      <c r="E23" s="11" t="s">
        <v>372</v>
      </c>
      <c r="F23" s="1"/>
      <c r="G23" s="1"/>
    </row>
    <row r="24" spans="2:11" x14ac:dyDescent="0.2">
      <c r="B24" s="11">
        <v>8</v>
      </c>
      <c r="C24" s="10">
        <v>22</v>
      </c>
      <c r="D24" s="178"/>
      <c r="E24" s="11" t="s">
        <v>53</v>
      </c>
      <c r="F24" s="1"/>
      <c r="G24" s="1"/>
      <c r="K24" s="1"/>
    </row>
    <row r="25" spans="2:11" x14ac:dyDescent="0.2">
      <c r="C25" s="10">
        <v>23</v>
      </c>
      <c r="E25" s="11" t="s">
        <v>54</v>
      </c>
      <c r="F25" s="1"/>
      <c r="G25" s="1"/>
    </row>
    <row r="26" spans="2:11" x14ac:dyDescent="0.2">
      <c r="C26" s="10">
        <v>24</v>
      </c>
      <c r="E26" s="11" t="s">
        <v>372</v>
      </c>
      <c r="F26" s="1"/>
      <c r="G26" s="1"/>
    </row>
    <row r="27" spans="2:11" x14ac:dyDescent="0.2">
      <c r="B27" s="11">
        <v>9</v>
      </c>
      <c r="C27" s="10">
        <v>25</v>
      </c>
      <c r="D27" s="178"/>
      <c r="E27" s="11" t="s">
        <v>53</v>
      </c>
      <c r="F27" s="1"/>
      <c r="G27" s="1"/>
      <c r="K27" s="1"/>
    </row>
    <row r="28" spans="2:11" x14ac:dyDescent="0.2">
      <c r="C28" s="10">
        <v>26</v>
      </c>
      <c r="E28" s="11" t="s">
        <v>54</v>
      </c>
      <c r="F28" s="1"/>
      <c r="G28" s="1"/>
    </row>
    <row r="29" spans="2:11" x14ac:dyDescent="0.2">
      <c r="C29" s="10">
        <v>27</v>
      </c>
      <c r="E29" s="11" t="s">
        <v>372</v>
      </c>
    </row>
    <row r="30" spans="2:11" x14ac:dyDescent="0.2">
      <c r="B30" s="11">
        <v>10</v>
      </c>
      <c r="C30" s="10">
        <v>28</v>
      </c>
      <c r="E30" s="11" t="s">
        <v>53</v>
      </c>
    </row>
    <row r="31" spans="2:11" x14ac:dyDescent="0.2">
      <c r="C31" s="10">
        <v>29</v>
      </c>
      <c r="E31" s="11" t="s">
        <v>54</v>
      </c>
    </row>
    <row r="32" spans="2:11" x14ac:dyDescent="0.2">
      <c r="C32" s="10">
        <v>30</v>
      </c>
      <c r="E32" s="11" t="s">
        <v>372</v>
      </c>
    </row>
    <row r="33" spans="2:11" x14ac:dyDescent="0.2">
      <c r="B33" s="11">
        <v>11</v>
      </c>
      <c r="C33" s="10">
        <v>31</v>
      </c>
      <c r="E33" s="11" t="s">
        <v>53</v>
      </c>
    </row>
    <row r="34" spans="2:11" x14ac:dyDescent="0.2">
      <c r="C34" s="10">
        <v>32</v>
      </c>
      <c r="E34" s="11" t="s">
        <v>54</v>
      </c>
    </row>
    <row r="35" spans="2:11" x14ac:dyDescent="0.2">
      <c r="C35" s="10">
        <v>33</v>
      </c>
      <c r="E35" s="11" t="s">
        <v>372</v>
      </c>
    </row>
    <row r="36" spans="2:11" x14ac:dyDescent="0.2">
      <c r="B36" s="11">
        <v>12</v>
      </c>
      <c r="C36" s="10">
        <v>34</v>
      </c>
      <c r="E36" s="11" t="s">
        <v>53</v>
      </c>
    </row>
    <row r="37" spans="2:11" x14ac:dyDescent="0.2">
      <c r="C37" s="10">
        <v>35</v>
      </c>
      <c r="E37" s="11" t="s">
        <v>54</v>
      </c>
    </row>
    <row r="38" spans="2:11" x14ac:dyDescent="0.2">
      <c r="C38" s="10">
        <v>36</v>
      </c>
      <c r="E38" s="11" t="s">
        <v>372</v>
      </c>
    </row>
    <row r="39" spans="2:11" x14ac:dyDescent="0.2">
      <c r="B39" s="11">
        <v>13</v>
      </c>
      <c r="C39" s="10">
        <v>37</v>
      </c>
      <c r="E39" s="11" t="s">
        <v>53</v>
      </c>
    </row>
    <row r="40" spans="2:11" x14ac:dyDescent="0.2">
      <c r="C40" s="10">
        <v>38</v>
      </c>
      <c r="E40" s="11" t="s">
        <v>54</v>
      </c>
    </row>
    <row r="41" spans="2:11" x14ac:dyDescent="0.2">
      <c r="C41" s="10">
        <v>39</v>
      </c>
      <c r="E41" s="11" t="s">
        <v>372</v>
      </c>
    </row>
    <row r="42" spans="2:11" x14ac:dyDescent="0.2">
      <c r="B42" s="11">
        <v>14</v>
      </c>
      <c r="C42" s="10">
        <v>40</v>
      </c>
      <c r="D42" s="178"/>
      <c r="E42" s="11" t="s">
        <v>53</v>
      </c>
      <c r="F42" s="1"/>
      <c r="G42" s="1"/>
      <c r="K42" s="1"/>
    </row>
    <row r="43" spans="2:11" x14ac:dyDescent="0.2">
      <c r="C43" s="10">
        <v>41</v>
      </c>
      <c r="E43" s="11" t="s">
        <v>54</v>
      </c>
      <c r="F43" s="1"/>
      <c r="G43" s="1"/>
    </row>
    <row r="44" spans="2:11" x14ac:dyDescent="0.2">
      <c r="C44" s="10">
        <v>42</v>
      </c>
      <c r="E44" s="11" t="s">
        <v>372</v>
      </c>
    </row>
    <row r="45" spans="2:11" x14ac:dyDescent="0.2">
      <c r="B45" s="11">
        <v>15</v>
      </c>
      <c r="C45" s="10">
        <v>43</v>
      </c>
      <c r="D45" s="178"/>
      <c r="E45" s="11" t="s">
        <v>53</v>
      </c>
      <c r="F45" s="1"/>
      <c r="G45" s="1"/>
      <c r="K45" s="1"/>
    </row>
    <row r="46" spans="2:11" x14ac:dyDescent="0.2">
      <c r="C46" s="10">
        <v>44</v>
      </c>
      <c r="E46" s="11" t="s">
        <v>54</v>
      </c>
      <c r="F46" s="1"/>
      <c r="G46" s="1"/>
    </row>
    <row r="47" spans="2:11" x14ac:dyDescent="0.2">
      <c r="C47" s="10">
        <v>45</v>
      </c>
      <c r="E47" s="11" t="s">
        <v>372</v>
      </c>
    </row>
  </sheetData>
  <phoneticPr fontId="1"/>
  <pageMargins left="0.62" right="0.44" top="1" bottom="1" header="0.51200000000000001" footer="0.51200000000000001"/>
  <pageSetup paperSize="9" scale="97" orientation="portrait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14"/>
  <sheetViews>
    <sheetView zoomScaleNormal="100" workbookViewId="0">
      <selection activeCell="D34" sqref="D34"/>
    </sheetView>
    <sheetView workbookViewId="1">
      <selection activeCell="A15" sqref="A15"/>
    </sheetView>
  </sheetViews>
  <sheetFormatPr defaultColWidth="13" defaultRowHeight="13" x14ac:dyDescent="0.2"/>
  <cols>
    <col min="1" max="1" width="6.08984375" style="233" bestFit="1" customWidth="1"/>
    <col min="2" max="2" width="6.36328125" style="11" customWidth="1"/>
    <col min="3" max="3" width="4.6328125" style="10" customWidth="1"/>
    <col min="4" max="4" width="16.36328125" style="110" bestFit="1" customWidth="1"/>
    <col min="5" max="5" width="6.08984375" style="11" bestFit="1" customWidth="1"/>
    <col min="6" max="7" width="7.6328125" style="11" bestFit="1" customWidth="1"/>
    <col min="8" max="8" width="5.08984375" style="11" bestFit="1" customWidth="1"/>
    <col min="9" max="10" width="0" style="11" hidden="1" customWidth="1"/>
    <col min="11" max="11" width="12.7265625" style="11" bestFit="1" customWidth="1"/>
    <col min="12" max="16384" width="13" style="10"/>
  </cols>
  <sheetData>
    <row r="1" spans="1:11" x14ac:dyDescent="0.2">
      <c r="A1" s="233" t="s">
        <v>422</v>
      </c>
      <c r="B1" s="110" t="s">
        <v>110</v>
      </c>
    </row>
    <row r="2" spans="1:11" x14ac:dyDescent="0.2">
      <c r="B2" s="11" t="s">
        <v>130</v>
      </c>
      <c r="D2" s="110" t="s">
        <v>359</v>
      </c>
      <c r="E2" s="11" t="s">
        <v>131</v>
      </c>
      <c r="F2" s="11" t="s">
        <v>336</v>
      </c>
      <c r="G2" s="11" t="s">
        <v>363</v>
      </c>
      <c r="H2" s="11" t="s">
        <v>364</v>
      </c>
      <c r="I2" s="11" t="s">
        <v>132</v>
      </c>
      <c r="J2" s="11" t="s">
        <v>133</v>
      </c>
      <c r="K2" s="11" t="s">
        <v>360</v>
      </c>
    </row>
    <row r="3" spans="1:11" x14ac:dyDescent="0.2">
      <c r="A3" s="234" t="s">
        <v>1115</v>
      </c>
      <c r="B3" s="11">
        <v>1</v>
      </c>
      <c r="C3" s="10">
        <v>1</v>
      </c>
      <c r="D3" s="178" t="s">
        <v>801</v>
      </c>
      <c r="E3" s="11" t="s">
        <v>145</v>
      </c>
      <c r="F3" s="1" t="s">
        <v>816</v>
      </c>
      <c r="G3" s="1" t="s">
        <v>817</v>
      </c>
      <c r="H3" s="11">
        <v>2</v>
      </c>
      <c r="K3" s="1" t="s">
        <v>808</v>
      </c>
    </row>
    <row r="4" spans="1:11" x14ac:dyDescent="0.2">
      <c r="C4" s="10">
        <v>2</v>
      </c>
      <c r="E4" s="11" t="s">
        <v>134</v>
      </c>
      <c r="F4" s="1" t="s">
        <v>818</v>
      </c>
      <c r="G4" s="1" t="s">
        <v>819</v>
      </c>
      <c r="H4" s="11">
        <v>3</v>
      </c>
    </row>
    <row r="5" spans="1:11" x14ac:dyDescent="0.2">
      <c r="C5" s="10">
        <v>3</v>
      </c>
      <c r="E5" s="11">
        <v>3</v>
      </c>
      <c r="F5" s="1" t="s">
        <v>820</v>
      </c>
      <c r="G5" s="1" t="s">
        <v>821</v>
      </c>
      <c r="H5" s="11">
        <v>2</v>
      </c>
    </row>
    <row r="6" spans="1:11" x14ac:dyDescent="0.2">
      <c r="C6" s="10">
        <v>4</v>
      </c>
      <c r="E6" s="11">
        <v>2</v>
      </c>
      <c r="F6" s="1" t="s">
        <v>822</v>
      </c>
      <c r="G6" s="1" t="s">
        <v>823</v>
      </c>
      <c r="H6" s="11">
        <v>2</v>
      </c>
    </row>
    <row r="7" spans="1:11" x14ac:dyDescent="0.2">
      <c r="C7" s="10">
        <v>5</v>
      </c>
      <c r="E7" s="11" t="s">
        <v>139</v>
      </c>
      <c r="F7" s="1" t="s">
        <v>824</v>
      </c>
      <c r="G7" s="1" t="s">
        <v>825</v>
      </c>
      <c r="H7" s="11">
        <v>2</v>
      </c>
    </row>
    <row r="8" spans="1:11" x14ac:dyDescent="0.2">
      <c r="C8" s="10">
        <v>6</v>
      </c>
      <c r="E8" s="11" t="s">
        <v>372</v>
      </c>
      <c r="F8" s="1" t="s">
        <v>789</v>
      </c>
      <c r="G8" s="1" t="s">
        <v>790</v>
      </c>
      <c r="H8" s="11">
        <v>2</v>
      </c>
    </row>
    <row r="9" spans="1:11" x14ac:dyDescent="0.2">
      <c r="C9" s="10">
        <v>7</v>
      </c>
      <c r="E9" s="11" t="s">
        <v>372</v>
      </c>
      <c r="F9" s="1" t="s">
        <v>793</v>
      </c>
      <c r="G9" s="1" t="s">
        <v>794</v>
      </c>
      <c r="H9" s="11">
        <v>2</v>
      </c>
    </row>
    <row r="10" spans="1:11" x14ac:dyDescent="0.2">
      <c r="A10" s="234"/>
      <c r="B10" s="11">
        <v>2</v>
      </c>
      <c r="C10" s="10">
        <v>8</v>
      </c>
      <c r="D10" s="178" t="s">
        <v>757</v>
      </c>
      <c r="E10" s="11" t="s">
        <v>145</v>
      </c>
      <c r="F10" s="1" t="s">
        <v>826</v>
      </c>
      <c r="G10" s="1" t="s">
        <v>827</v>
      </c>
      <c r="H10" s="11">
        <v>3</v>
      </c>
      <c r="K10" s="1" t="s">
        <v>808</v>
      </c>
    </row>
    <row r="11" spans="1:11" x14ac:dyDescent="0.2">
      <c r="C11" s="10">
        <v>9</v>
      </c>
      <c r="E11" s="11" t="s">
        <v>144</v>
      </c>
      <c r="F11" s="1" t="s">
        <v>828</v>
      </c>
      <c r="G11" s="1" t="s">
        <v>829</v>
      </c>
      <c r="H11" s="11">
        <v>2</v>
      </c>
    </row>
    <row r="12" spans="1:11" x14ac:dyDescent="0.2">
      <c r="C12" s="10">
        <v>10</v>
      </c>
      <c r="E12" s="11">
        <v>3</v>
      </c>
      <c r="F12" s="1" t="s">
        <v>1117</v>
      </c>
      <c r="G12" s="1" t="s">
        <v>1118</v>
      </c>
      <c r="H12" s="11">
        <v>2</v>
      </c>
    </row>
    <row r="13" spans="1:11" x14ac:dyDescent="0.2">
      <c r="C13" s="10">
        <v>11</v>
      </c>
      <c r="E13" s="11">
        <v>2</v>
      </c>
      <c r="F13" s="1" t="s">
        <v>1119</v>
      </c>
      <c r="G13" s="1" t="s">
        <v>1120</v>
      </c>
      <c r="H13" s="11">
        <v>3</v>
      </c>
    </row>
    <row r="14" spans="1:11" x14ac:dyDescent="0.2">
      <c r="C14" s="10">
        <v>12</v>
      </c>
      <c r="E14" s="11" t="s">
        <v>146</v>
      </c>
      <c r="F14" s="1" t="s">
        <v>1121</v>
      </c>
      <c r="G14" s="1" t="s">
        <v>1122</v>
      </c>
      <c r="H14" s="11">
        <v>2</v>
      </c>
    </row>
    <row r="15" spans="1:11" x14ac:dyDescent="0.2">
      <c r="C15" s="10">
        <v>13</v>
      </c>
      <c r="E15" s="11" t="s">
        <v>372</v>
      </c>
      <c r="F15" s="1" t="s">
        <v>785</v>
      </c>
      <c r="G15" s="1" t="s">
        <v>786</v>
      </c>
      <c r="H15" s="11">
        <v>2</v>
      </c>
    </row>
    <row r="16" spans="1:11" x14ac:dyDescent="0.2">
      <c r="C16" s="10">
        <v>14</v>
      </c>
      <c r="E16" s="11" t="s">
        <v>372</v>
      </c>
      <c r="F16" s="1" t="s">
        <v>797</v>
      </c>
      <c r="G16" s="1" t="s">
        <v>798</v>
      </c>
      <c r="H16" s="11">
        <v>2</v>
      </c>
    </row>
    <row r="17" spans="1:11" x14ac:dyDescent="0.2">
      <c r="A17" s="234" t="s">
        <v>1124</v>
      </c>
      <c r="B17" s="11">
        <v>3</v>
      </c>
      <c r="C17" s="10">
        <v>15</v>
      </c>
      <c r="D17" s="178" t="s">
        <v>893</v>
      </c>
      <c r="E17" s="11" t="s">
        <v>145</v>
      </c>
      <c r="F17" s="1" t="s">
        <v>894</v>
      </c>
      <c r="G17" s="1" t="s">
        <v>895</v>
      </c>
      <c r="H17" s="11">
        <v>1</v>
      </c>
      <c r="K17" s="1" t="s">
        <v>904</v>
      </c>
    </row>
    <row r="18" spans="1:11" x14ac:dyDescent="0.2">
      <c r="C18" s="10">
        <v>16</v>
      </c>
      <c r="E18" s="11" t="s">
        <v>147</v>
      </c>
      <c r="F18" s="1" t="s">
        <v>896</v>
      </c>
      <c r="G18" s="1" t="s">
        <v>897</v>
      </c>
      <c r="H18" s="11">
        <v>3</v>
      </c>
    </row>
    <row r="19" spans="1:11" x14ac:dyDescent="0.2">
      <c r="C19" s="10">
        <v>17</v>
      </c>
      <c r="E19" s="11">
        <v>3</v>
      </c>
      <c r="F19" s="1" t="s">
        <v>898</v>
      </c>
      <c r="G19" s="1" t="s">
        <v>899</v>
      </c>
      <c r="H19" s="11">
        <v>2</v>
      </c>
    </row>
    <row r="20" spans="1:11" x14ac:dyDescent="0.2">
      <c r="C20" s="10">
        <v>18</v>
      </c>
      <c r="E20" s="11">
        <v>2</v>
      </c>
      <c r="F20" s="1" t="s">
        <v>900</v>
      </c>
      <c r="G20" s="1" t="s">
        <v>901</v>
      </c>
      <c r="H20" s="11">
        <v>2</v>
      </c>
    </row>
    <row r="21" spans="1:11" x14ac:dyDescent="0.2">
      <c r="C21" s="10">
        <v>19</v>
      </c>
      <c r="E21" s="11" t="s">
        <v>18</v>
      </c>
      <c r="F21" s="1" t="s">
        <v>902</v>
      </c>
      <c r="G21" s="1" t="s">
        <v>903</v>
      </c>
      <c r="H21" s="11">
        <v>3</v>
      </c>
    </row>
    <row r="22" spans="1:11" x14ac:dyDescent="0.2">
      <c r="C22" s="10">
        <v>20</v>
      </c>
      <c r="E22" s="11" t="s">
        <v>372</v>
      </c>
      <c r="F22" s="1" t="s">
        <v>883</v>
      </c>
      <c r="G22" s="1" t="s">
        <v>884</v>
      </c>
      <c r="H22" s="11">
        <v>2</v>
      </c>
    </row>
    <row r="23" spans="1:11" x14ac:dyDescent="0.2">
      <c r="C23" s="10">
        <v>21</v>
      </c>
      <c r="E23" s="11" t="s">
        <v>372</v>
      </c>
      <c r="F23" s="1"/>
      <c r="G23" s="1"/>
    </row>
    <row r="24" spans="1:11" x14ac:dyDescent="0.2">
      <c r="A24" s="234"/>
      <c r="B24" s="11">
        <v>4</v>
      </c>
      <c r="C24" s="10">
        <v>22</v>
      </c>
      <c r="D24" s="178" t="s">
        <v>662</v>
      </c>
      <c r="E24" s="11" t="s">
        <v>145</v>
      </c>
      <c r="F24" s="1" t="s">
        <v>587</v>
      </c>
      <c r="G24" s="1" t="s">
        <v>588</v>
      </c>
      <c r="H24" s="11">
        <v>3</v>
      </c>
      <c r="K24" s="1" t="s">
        <v>661</v>
      </c>
    </row>
    <row r="25" spans="1:11" x14ac:dyDescent="0.2">
      <c r="C25" s="10">
        <v>23</v>
      </c>
      <c r="E25" s="11" t="s">
        <v>53</v>
      </c>
      <c r="F25" s="1" t="s">
        <v>557</v>
      </c>
      <c r="G25" s="1" t="s">
        <v>558</v>
      </c>
      <c r="H25" s="11">
        <v>3</v>
      </c>
    </row>
    <row r="26" spans="1:11" x14ac:dyDescent="0.2">
      <c r="C26" s="10">
        <v>24</v>
      </c>
      <c r="E26" s="11">
        <v>3</v>
      </c>
      <c r="F26" s="1" t="s">
        <v>582</v>
      </c>
      <c r="G26" s="1" t="s">
        <v>583</v>
      </c>
      <c r="H26" s="11">
        <v>3</v>
      </c>
    </row>
    <row r="27" spans="1:11" x14ac:dyDescent="0.2">
      <c r="C27" s="10">
        <v>25</v>
      </c>
      <c r="E27" s="11">
        <v>2</v>
      </c>
      <c r="F27" s="1" t="s">
        <v>580</v>
      </c>
      <c r="G27" s="1" t="s">
        <v>581</v>
      </c>
      <c r="H27" s="11">
        <v>3</v>
      </c>
    </row>
    <row r="28" spans="1:11" x14ac:dyDescent="0.2">
      <c r="C28" s="10">
        <v>26</v>
      </c>
      <c r="E28" s="11" t="s">
        <v>18</v>
      </c>
      <c r="F28" s="1" t="s">
        <v>578</v>
      </c>
      <c r="G28" s="1" t="s">
        <v>579</v>
      </c>
      <c r="H28" s="11">
        <v>3</v>
      </c>
    </row>
    <row r="29" spans="1:11" x14ac:dyDescent="0.2">
      <c r="C29" s="10">
        <v>27</v>
      </c>
      <c r="E29" s="11" t="s">
        <v>372</v>
      </c>
      <c r="F29" s="1" t="s">
        <v>575</v>
      </c>
      <c r="G29" s="1" t="s">
        <v>584</v>
      </c>
      <c r="H29" s="11">
        <v>3</v>
      </c>
    </row>
    <row r="30" spans="1:11" x14ac:dyDescent="0.2">
      <c r="C30" s="10">
        <v>28</v>
      </c>
      <c r="E30" s="11" t="s">
        <v>372</v>
      </c>
      <c r="F30" s="1" t="s">
        <v>562</v>
      </c>
      <c r="G30" s="1" t="s">
        <v>563</v>
      </c>
      <c r="H30" s="11">
        <v>3</v>
      </c>
    </row>
    <row r="31" spans="1:11" x14ac:dyDescent="0.2">
      <c r="A31" s="234">
        <v>2</v>
      </c>
      <c r="B31" s="11">
        <v>5</v>
      </c>
      <c r="C31" s="10">
        <v>29</v>
      </c>
      <c r="D31" s="178" t="s">
        <v>980</v>
      </c>
      <c r="E31" s="11" t="s">
        <v>145</v>
      </c>
      <c r="F31" s="1" t="s">
        <v>981</v>
      </c>
      <c r="G31" s="1" t="s">
        <v>982</v>
      </c>
      <c r="H31" s="11">
        <v>2</v>
      </c>
      <c r="K31" s="1" t="s">
        <v>994</v>
      </c>
    </row>
    <row r="32" spans="1:11" x14ac:dyDescent="0.2">
      <c r="C32" s="10">
        <v>30</v>
      </c>
      <c r="E32" s="11" t="s">
        <v>53</v>
      </c>
      <c r="F32" s="1" t="s">
        <v>983</v>
      </c>
      <c r="G32" s="1" t="s">
        <v>984</v>
      </c>
      <c r="H32" s="11">
        <v>3</v>
      </c>
    </row>
    <row r="33" spans="1:11" x14ac:dyDescent="0.2">
      <c r="C33" s="10">
        <v>31</v>
      </c>
      <c r="E33" s="11">
        <v>3</v>
      </c>
      <c r="F33" s="1" t="s">
        <v>985</v>
      </c>
      <c r="G33" s="1" t="s">
        <v>986</v>
      </c>
      <c r="H33" s="11">
        <v>3</v>
      </c>
    </row>
    <row r="34" spans="1:11" x14ac:dyDescent="0.2">
      <c r="C34" s="10">
        <v>32</v>
      </c>
      <c r="E34" s="11">
        <v>2</v>
      </c>
      <c r="F34" s="1" t="s">
        <v>987</v>
      </c>
      <c r="G34" s="1" t="s">
        <v>988</v>
      </c>
      <c r="H34" s="11">
        <v>3</v>
      </c>
    </row>
    <row r="35" spans="1:11" x14ac:dyDescent="0.2">
      <c r="C35" s="10">
        <v>33</v>
      </c>
      <c r="E35" s="11" t="s">
        <v>18</v>
      </c>
      <c r="F35" s="1" t="s">
        <v>989</v>
      </c>
      <c r="G35" s="1" t="s">
        <v>990</v>
      </c>
      <c r="H35" s="11">
        <v>3</v>
      </c>
    </row>
    <row r="36" spans="1:11" x14ac:dyDescent="0.2">
      <c r="C36" s="10">
        <v>34</v>
      </c>
      <c r="E36" s="11" t="s">
        <v>372</v>
      </c>
      <c r="F36" s="1" t="s">
        <v>533</v>
      </c>
      <c r="G36" s="1" t="s">
        <v>991</v>
      </c>
      <c r="H36" s="11">
        <v>2</v>
      </c>
    </row>
    <row r="37" spans="1:11" x14ac:dyDescent="0.2">
      <c r="C37" s="10">
        <v>35</v>
      </c>
      <c r="E37" s="11" t="s">
        <v>372</v>
      </c>
      <c r="F37" s="1" t="s">
        <v>992</v>
      </c>
      <c r="G37" s="1" t="s">
        <v>993</v>
      </c>
      <c r="H37" s="11">
        <v>2</v>
      </c>
    </row>
    <row r="38" spans="1:11" x14ac:dyDescent="0.2">
      <c r="A38" s="234" t="s">
        <v>1114</v>
      </c>
      <c r="B38" s="11">
        <v>6</v>
      </c>
      <c r="C38" s="10">
        <v>36</v>
      </c>
      <c r="D38" s="178" t="s">
        <v>1006</v>
      </c>
      <c r="E38" s="11" t="s">
        <v>145</v>
      </c>
      <c r="F38" s="1" t="s">
        <v>1007</v>
      </c>
      <c r="G38" s="1" t="s">
        <v>1008</v>
      </c>
      <c r="H38" s="11">
        <v>3</v>
      </c>
      <c r="K38" s="1" t="s">
        <v>1019</v>
      </c>
    </row>
    <row r="39" spans="1:11" x14ac:dyDescent="0.2">
      <c r="C39" s="10">
        <v>37</v>
      </c>
      <c r="E39" s="11" t="s">
        <v>53</v>
      </c>
      <c r="F39" s="1" t="s">
        <v>530</v>
      </c>
      <c r="G39" s="1" t="s">
        <v>1009</v>
      </c>
      <c r="H39" s="11">
        <v>3</v>
      </c>
    </row>
    <row r="40" spans="1:11" x14ac:dyDescent="0.2">
      <c r="C40" s="10">
        <v>38</v>
      </c>
      <c r="E40" s="11">
        <v>3</v>
      </c>
      <c r="F40" s="1" t="s">
        <v>1010</v>
      </c>
      <c r="G40" s="1" t="s">
        <v>1011</v>
      </c>
      <c r="H40" s="11">
        <v>2</v>
      </c>
    </row>
    <row r="41" spans="1:11" x14ac:dyDescent="0.2">
      <c r="C41" s="10">
        <v>39</v>
      </c>
      <c r="E41" s="11">
        <v>2</v>
      </c>
      <c r="F41" s="1" t="s">
        <v>566</v>
      </c>
      <c r="G41" s="1" t="s">
        <v>1012</v>
      </c>
      <c r="H41" s="11">
        <v>3</v>
      </c>
    </row>
    <row r="42" spans="1:11" x14ac:dyDescent="0.2">
      <c r="C42" s="10">
        <v>40</v>
      </c>
      <c r="E42" s="11" t="s">
        <v>18</v>
      </c>
      <c r="F42" s="1" t="s">
        <v>1013</v>
      </c>
      <c r="G42" s="1" t="s">
        <v>1014</v>
      </c>
      <c r="H42" s="11">
        <v>3</v>
      </c>
    </row>
    <row r="43" spans="1:11" x14ac:dyDescent="0.2">
      <c r="C43" s="10">
        <v>41</v>
      </c>
      <c r="E43" s="11" t="s">
        <v>372</v>
      </c>
      <c r="F43" s="1" t="s">
        <v>1015</v>
      </c>
      <c r="G43" s="1" t="s">
        <v>1016</v>
      </c>
      <c r="H43" s="11">
        <v>2</v>
      </c>
    </row>
    <row r="44" spans="1:11" x14ac:dyDescent="0.2">
      <c r="C44" s="10">
        <v>42</v>
      </c>
      <c r="E44" s="11" t="s">
        <v>372</v>
      </c>
      <c r="F44" s="1" t="s">
        <v>1017</v>
      </c>
      <c r="G44" s="1" t="s">
        <v>1018</v>
      </c>
      <c r="H44" s="11">
        <v>3</v>
      </c>
    </row>
    <row r="45" spans="1:11" x14ac:dyDescent="0.2">
      <c r="A45" s="234"/>
      <c r="B45" s="11">
        <v>7</v>
      </c>
      <c r="C45" s="10">
        <v>43</v>
      </c>
      <c r="D45" s="178"/>
      <c r="E45" s="11" t="s">
        <v>145</v>
      </c>
      <c r="F45" s="1"/>
      <c r="G45" s="1"/>
      <c r="K45" s="1"/>
    </row>
    <row r="46" spans="1:11" x14ac:dyDescent="0.2">
      <c r="C46" s="10">
        <v>44</v>
      </c>
      <c r="E46" s="11" t="s">
        <v>53</v>
      </c>
      <c r="F46" s="1"/>
      <c r="G46" s="1"/>
    </row>
    <row r="47" spans="1:11" x14ac:dyDescent="0.2">
      <c r="C47" s="10">
        <v>45</v>
      </c>
      <c r="E47" s="11">
        <v>3</v>
      </c>
      <c r="F47" s="1"/>
      <c r="G47" s="1"/>
    </row>
    <row r="48" spans="1:11" x14ac:dyDescent="0.2">
      <c r="C48" s="10">
        <v>46</v>
      </c>
      <c r="E48" s="11">
        <v>2</v>
      </c>
      <c r="F48" s="1"/>
      <c r="G48" s="1"/>
    </row>
    <row r="49" spans="1:11" x14ac:dyDescent="0.2">
      <c r="C49" s="10">
        <v>47</v>
      </c>
      <c r="E49" s="11" t="s">
        <v>18</v>
      </c>
      <c r="F49" s="1"/>
      <c r="G49" s="1"/>
    </row>
    <row r="50" spans="1:11" x14ac:dyDescent="0.2">
      <c r="C50" s="10">
        <v>48</v>
      </c>
      <c r="E50" s="11" t="s">
        <v>372</v>
      </c>
      <c r="F50" s="1"/>
      <c r="G50" s="1"/>
    </row>
    <row r="51" spans="1:11" x14ac:dyDescent="0.2">
      <c r="C51" s="10">
        <v>49</v>
      </c>
      <c r="E51" s="11" t="s">
        <v>372</v>
      </c>
      <c r="F51" s="1"/>
      <c r="G51" s="1"/>
    </row>
    <row r="52" spans="1:11" x14ac:dyDescent="0.2">
      <c r="B52" s="11">
        <v>8</v>
      </c>
      <c r="C52" s="10">
        <v>50</v>
      </c>
      <c r="D52" s="178"/>
      <c r="E52" s="11" t="s">
        <v>145</v>
      </c>
      <c r="F52" s="1"/>
      <c r="G52" s="179"/>
      <c r="K52" s="1"/>
    </row>
    <row r="53" spans="1:11" x14ac:dyDescent="0.2">
      <c r="C53" s="10">
        <v>51</v>
      </c>
      <c r="E53" s="11" t="s">
        <v>53</v>
      </c>
      <c r="F53" s="1"/>
      <c r="G53" s="179"/>
    </row>
    <row r="54" spans="1:11" x14ac:dyDescent="0.2">
      <c r="C54" s="10">
        <v>52</v>
      </c>
      <c r="E54" s="11">
        <v>3</v>
      </c>
      <c r="F54" s="1"/>
      <c r="G54" s="179"/>
    </row>
    <row r="55" spans="1:11" x14ac:dyDescent="0.2">
      <c r="C55" s="10">
        <v>53</v>
      </c>
      <c r="E55" s="11">
        <v>2</v>
      </c>
      <c r="F55" s="1"/>
      <c r="G55" s="179"/>
    </row>
    <row r="56" spans="1:11" x14ac:dyDescent="0.2">
      <c r="C56" s="10">
        <v>54</v>
      </c>
      <c r="E56" s="11" t="s">
        <v>18</v>
      </c>
      <c r="F56" s="1"/>
      <c r="G56" s="179"/>
    </row>
    <row r="57" spans="1:11" x14ac:dyDescent="0.2">
      <c r="C57" s="10">
        <v>55</v>
      </c>
      <c r="E57" s="11" t="s">
        <v>372</v>
      </c>
      <c r="F57" s="1"/>
      <c r="G57" s="179"/>
    </row>
    <row r="58" spans="1:11" x14ac:dyDescent="0.2">
      <c r="C58" s="10">
        <v>56</v>
      </c>
      <c r="E58" s="11" t="s">
        <v>372</v>
      </c>
      <c r="F58" s="1"/>
      <c r="G58" s="179"/>
    </row>
    <row r="59" spans="1:11" x14ac:dyDescent="0.2">
      <c r="A59" s="234"/>
      <c r="B59" s="11">
        <v>9</v>
      </c>
      <c r="C59" s="10">
        <v>57</v>
      </c>
      <c r="D59" s="178"/>
      <c r="E59" s="11" t="s">
        <v>145</v>
      </c>
      <c r="F59" s="1"/>
      <c r="G59" s="179"/>
      <c r="K59" s="1"/>
    </row>
    <row r="60" spans="1:11" x14ac:dyDescent="0.2">
      <c r="C60" s="10">
        <v>58</v>
      </c>
      <c r="E60" s="11" t="s">
        <v>53</v>
      </c>
      <c r="F60" s="1"/>
      <c r="G60" s="179"/>
    </row>
    <row r="61" spans="1:11" x14ac:dyDescent="0.2">
      <c r="C61" s="10">
        <v>59</v>
      </c>
      <c r="E61" s="11">
        <v>3</v>
      </c>
      <c r="F61" s="1"/>
      <c r="G61" s="179"/>
    </row>
    <row r="62" spans="1:11" x14ac:dyDescent="0.2">
      <c r="C62" s="10">
        <v>60</v>
      </c>
      <c r="E62" s="11">
        <v>2</v>
      </c>
      <c r="F62" s="1"/>
      <c r="G62" s="179"/>
    </row>
    <row r="63" spans="1:11" x14ac:dyDescent="0.2">
      <c r="C63" s="10">
        <v>61</v>
      </c>
      <c r="E63" s="11" t="s">
        <v>18</v>
      </c>
      <c r="F63" s="1"/>
      <c r="G63" s="179"/>
    </row>
    <row r="64" spans="1:11" x14ac:dyDescent="0.2">
      <c r="C64" s="10">
        <v>62</v>
      </c>
      <c r="E64" s="11" t="s">
        <v>372</v>
      </c>
      <c r="F64" s="1"/>
      <c r="G64" s="179"/>
    </row>
    <row r="65" spans="1:11" x14ac:dyDescent="0.2">
      <c r="C65" s="10">
        <v>63</v>
      </c>
      <c r="E65" s="11" t="s">
        <v>372</v>
      </c>
      <c r="F65" s="1"/>
      <c r="G65" s="179"/>
    </row>
    <row r="66" spans="1:11" x14ac:dyDescent="0.2">
      <c r="B66" s="11">
        <v>10</v>
      </c>
      <c r="C66" s="10">
        <v>64</v>
      </c>
      <c r="D66" s="178"/>
      <c r="E66" s="11" t="s">
        <v>145</v>
      </c>
      <c r="F66" s="1"/>
      <c r="G66" s="179"/>
      <c r="K66" s="1"/>
    </row>
    <row r="67" spans="1:11" x14ac:dyDescent="0.2">
      <c r="C67" s="10">
        <v>65</v>
      </c>
      <c r="E67" s="11" t="s">
        <v>53</v>
      </c>
      <c r="F67" s="1"/>
      <c r="G67" s="1"/>
    </row>
    <row r="68" spans="1:11" x14ac:dyDescent="0.2">
      <c r="C68" s="10">
        <v>66</v>
      </c>
      <c r="E68" s="11">
        <v>3</v>
      </c>
      <c r="F68" s="1"/>
      <c r="G68" s="179"/>
    </row>
    <row r="69" spans="1:11" x14ac:dyDescent="0.2">
      <c r="C69" s="10">
        <v>67</v>
      </c>
      <c r="E69" s="11">
        <v>2</v>
      </c>
      <c r="F69" s="1"/>
      <c r="G69" s="1"/>
    </row>
    <row r="70" spans="1:11" x14ac:dyDescent="0.2">
      <c r="C70" s="10">
        <v>68</v>
      </c>
      <c r="E70" s="11" t="s">
        <v>18</v>
      </c>
      <c r="F70" s="1"/>
      <c r="G70" s="1"/>
    </row>
    <row r="71" spans="1:11" x14ac:dyDescent="0.2">
      <c r="C71" s="10">
        <v>69</v>
      </c>
      <c r="E71" s="11" t="s">
        <v>372</v>
      </c>
      <c r="F71" s="1"/>
      <c r="G71" s="179"/>
    </row>
    <row r="72" spans="1:11" x14ac:dyDescent="0.2">
      <c r="C72" s="10">
        <v>70</v>
      </c>
      <c r="E72" s="11" t="s">
        <v>372</v>
      </c>
      <c r="F72" s="1"/>
      <c r="G72" s="1"/>
    </row>
    <row r="73" spans="1:11" x14ac:dyDescent="0.2">
      <c r="B73" s="11">
        <v>11</v>
      </c>
      <c r="C73" s="10">
        <v>71</v>
      </c>
      <c r="D73" s="178"/>
      <c r="E73" s="11" t="s">
        <v>145</v>
      </c>
      <c r="F73" s="1"/>
      <c r="G73" s="1"/>
      <c r="K73" s="1"/>
    </row>
    <row r="74" spans="1:11" x14ac:dyDescent="0.2">
      <c r="C74" s="10">
        <v>72</v>
      </c>
      <c r="E74" s="11" t="s">
        <v>53</v>
      </c>
      <c r="F74" s="1"/>
      <c r="G74" s="1"/>
    </row>
    <row r="75" spans="1:11" x14ac:dyDescent="0.2">
      <c r="C75" s="10">
        <v>73</v>
      </c>
      <c r="E75" s="11">
        <v>3</v>
      </c>
      <c r="F75" s="1"/>
      <c r="G75" s="1"/>
    </row>
    <row r="76" spans="1:11" x14ac:dyDescent="0.2">
      <c r="C76" s="10">
        <v>74</v>
      </c>
      <c r="E76" s="11">
        <v>2</v>
      </c>
      <c r="F76" s="1"/>
      <c r="G76" s="1"/>
    </row>
    <row r="77" spans="1:11" x14ac:dyDescent="0.2">
      <c r="C77" s="10">
        <v>75</v>
      </c>
      <c r="E77" s="11" t="s">
        <v>18</v>
      </c>
      <c r="F77" s="1"/>
      <c r="G77" s="1"/>
    </row>
    <row r="78" spans="1:11" x14ac:dyDescent="0.2">
      <c r="C78" s="10">
        <v>76</v>
      </c>
      <c r="E78" s="11" t="s">
        <v>372</v>
      </c>
      <c r="F78" s="1"/>
      <c r="G78" s="1"/>
    </row>
    <row r="79" spans="1:11" x14ac:dyDescent="0.2">
      <c r="C79" s="10">
        <v>77</v>
      </c>
      <c r="E79" s="11" t="s">
        <v>372</v>
      </c>
      <c r="F79" s="1"/>
      <c r="G79" s="1"/>
    </row>
    <row r="80" spans="1:11" x14ac:dyDescent="0.2">
      <c r="A80" s="234"/>
      <c r="B80" s="11">
        <v>12</v>
      </c>
      <c r="C80" s="10">
        <v>78</v>
      </c>
      <c r="D80" s="178"/>
      <c r="E80" s="11" t="s">
        <v>145</v>
      </c>
      <c r="K80" s="1"/>
    </row>
    <row r="81" spans="2:11" x14ac:dyDescent="0.2">
      <c r="C81" s="10">
        <v>79</v>
      </c>
      <c r="E81" s="11" t="s">
        <v>53</v>
      </c>
    </row>
    <row r="82" spans="2:11" x14ac:dyDescent="0.2">
      <c r="C82" s="10">
        <v>80</v>
      </c>
      <c r="E82" s="11">
        <v>3</v>
      </c>
    </row>
    <row r="83" spans="2:11" x14ac:dyDescent="0.2">
      <c r="C83" s="10">
        <v>81</v>
      </c>
      <c r="E83" s="11">
        <v>2</v>
      </c>
    </row>
    <row r="84" spans="2:11" x14ac:dyDescent="0.2">
      <c r="C84" s="10">
        <v>82</v>
      </c>
      <c r="E84" s="11" t="s">
        <v>18</v>
      </c>
    </row>
    <row r="85" spans="2:11" x14ac:dyDescent="0.2">
      <c r="C85" s="10">
        <v>83</v>
      </c>
      <c r="E85" s="11" t="s">
        <v>372</v>
      </c>
    </row>
    <row r="86" spans="2:11" x14ac:dyDescent="0.2">
      <c r="C86" s="10">
        <v>84</v>
      </c>
      <c r="E86" s="11" t="s">
        <v>372</v>
      </c>
    </row>
    <row r="87" spans="2:11" x14ac:dyDescent="0.2">
      <c r="B87" s="11">
        <v>13</v>
      </c>
      <c r="C87" s="10">
        <v>85</v>
      </c>
      <c r="D87" s="178"/>
      <c r="E87" s="11" t="s">
        <v>145</v>
      </c>
      <c r="K87" s="1"/>
    </row>
    <row r="88" spans="2:11" x14ac:dyDescent="0.2">
      <c r="C88" s="10">
        <v>86</v>
      </c>
      <c r="E88" s="11" t="s">
        <v>53</v>
      </c>
    </row>
    <row r="89" spans="2:11" x14ac:dyDescent="0.2">
      <c r="C89" s="10">
        <v>87</v>
      </c>
      <c r="E89" s="11">
        <v>3</v>
      </c>
    </row>
    <row r="90" spans="2:11" x14ac:dyDescent="0.2">
      <c r="C90" s="10">
        <v>88</v>
      </c>
      <c r="E90" s="11">
        <v>2</v>
      </c>
    </row>
    <row r="91" spans="2:11" x14ac:dyDescent="0.2">
      <c r="C91" s="10">
        <v>89</v>
      </c>
      <c r="E91" s="11" t="s">
        <v>18</v>
      </c>
    </row>
    <row r="92" spans="2:11" x14ac:dyDescent="0.2">
      <c r="C92" s="10">
        <v>90</v>
      </c>
      <c r="E92" s="11" t="s">
        <v>372</v>
      </c>
    </row>
    <row r="93" spans="2:11" x14ac:dyDescent="0.2">
      <c r="C93" s="10">
        <v>91</v>
      </c>
      <c r="E93" s="11" t="s">
        <v>372</v>
      </c>
    </row>
    <row r="94" spans="2:11" x14ac:dyDescent="0.2">
      <c r="B94" s="11">
        <v>14</v>
      </c>
      <c r="C94" s="10">
        <v>92</v>
      </c>
      <c r="D94" s="178"/>
      <c r="E94" s="11" t="s">
        <v>145</v>
      </c>
      <c r="F94" s="1"/>
      <c r="G94" s="1"/>
      <c r="K94" s="1"/>
    </row>
    <row r="95" spans="2:11" x14ac:dyDescent="0.2">
      <c r="C95" s="10">
        <v>93</v>
      </c>
      <c r="E95" s="11" t="s">
        <v>53</v>
      </c>
      <c r="F95" s="1"/>
      <c r="G95" s="1"/>
    </row>
    <row r="96" spans="2:11" x14ac:dyDescent="0.2">
      <c r="C96" s="10">
        <v>94</v>
      </c>
      <c r="E96" s="11">
        <v>3</v>
      </c>
      <c r="F96" s="1"/>
      <c r="G96" s="1"/>
    </row>
    <row r="97" spans="2:11" x14ac:dyDescent="0.2">
      <c r="C97" s="10">
        <v>95</v>
      </c>
      <c r="E97" s="11">
        <v>2</v>
      </c>
      <c r="F97" s="1"/>
      <c r="G97" s="1"/>
    </row>
    <row r="98" spans="2:11" x14ac:dyDescent="0.2">
      <c r="C98" s="10">
        <v>96</v>
      </c>
      <c r="E98" s="11" t="s">
        <v>18</v>
      </c>
      <c r="F98" s="1"/>
      <c r="G98" s="1"/>
    </row>
    <row r="99" spans="2:11" x14ac:dyDescent="0.2">
      <c r="C99" s="10">
        <v>97</v>
      </c>
      <c r="E99" s="11" t="s">
        <v>372</v>
      </c>
    </row>
    <row r="100" spans="2:11" x14ac:dyDescent="0.2">
      <c r="C100" s="10">
        <v>98</v>
      </c>
      <c r="E100" s="11" t="s">
        <v>372</v>
      </c>
    </row>
    <row r="101" spans="2:11" x14ac:dyDescent="0.2">
      <c r="B101" s="11">
        <v>15</v>
      </c>
      <c r="C101" s="10">
        <v>99</v>
      </c>
      <c r="D101" s="178"/>
      <c r="E101" s="11" t="s">
        <v>145</v>
      </c>
      <c r="K101" s="1"/>
    </row>
    <row r="102" spans="2:11" x14ac:dyDescent="0.2">
      <c r="C102" s="10">
        <v>100</v>
      </c>
      <c r="E102" s="11" t="s">
        <v>53</v>
      </c>
    </row>
    <row r="103" spans="2:11" x14ac:dyDescent="0.2">
      <c r="C103" s="10">
        <v>101</v>
      </c>
      <c r="E103" s="11">
        <v>3</v>
      </c>
    </row>
    <row r="104" spans="2:11" x14ac:dyDescent="0.2">
      <c r="C104" s="10">
        <v>102</v>
      </c>
      <c r="E104" s="11">
        <v>2</v>
      </c>
    </row>
    <row r="105" spans="2:11" x14ac:dyDescent="0.2">
      <c r="C105" s="10">
        <v>103</v>
      </c>
      <c r="E105" s="11" t="s">
        <v>18</v>
      </c>
    </row>
    <row r="106" spans="2:11" x14ac:dyDescent="0.2">
      <c r="C106" s="10">
        <v>104</v>
      </c>
      <c r="E106" s="11" t="s">
        <v>372</v>
      </c>
    </row>
    <row r="107" spans="2:11" x14ac:dyDescent="0.2">
      <c r="C107" s="10">
        <v>105</v>
      </c>
      <c r="E107" s="11" t="s">
        <v>372</v>
      </c>
    </row>
    <row r="108" spans="2:11" x14ac:dyDescent="0.2">
      <c r="B108" s="11">
        <v>16</v>
      </c>
      <c r="C108" s="10">
        <v>106</v>
      </c>
      <c r="D108" s="178"/>
      <c r="E108" s="11" t="s">
        <v>145</v>
      </c>
      <c r="K108" s="1"/>
    </row>
    <row r="109" spans="2:11" x14ac:dyDescent="0.2">
      <c r="C109" s="10">
        <v>107</v>
      </c>
      <c r="E109" s="11" t="s">
        <v>53</v>
      </c>
    </row>
    <row r="110" spans="2:11" x14ac:dyDescent="0.2">
      <c r="C110" s="10">
        <v>108</v>
      </c>
      <c r="E110" s="11">
        <v>3</v>
      </c>
    </row>
    <row r="111" spans="2:11" x14ac:dyDescent="0.2">
      <c r="C111" s="10">
        <v>109</v>
      </c>
      <c r="E111" s="11">
        <v>2</v>
      </c>
    </row>
    <row r="112" spans="2:11" x14ac:dyDescent="0.2">
      <c r="C112" s="10">
        <v>110</v>
      </c>
      <c r="E112" s="11" t="s">
        <v>18</v>
      </c>
    </row>
    <row r="113" spans="3:5" x14ac:dyDescent="0.2">
      <c r="C113" s="10">
        <v>111</v>
      </c>
      <c r="E113" s="11" t="s">
        <v>372</v>
      </c>
    </row>
    <row r="114" spans="3:5" x14ac:dyDescent="0.2">
      <c r="C114" s="10">
        <v>112</v>
      </c>
      <c r="E114" s="11" t="s">
        <v>372</v>
      </c>
    </row>
  </sheetData>
  <phoneticPr fontId="1"/>
  <pageMargins left="0.75" right="0.48" top="1" bottom="0.69" header="0.51200000000000001" footer="0.51200000000000001"/>
  <pageSetup paperSize="9" scale="96" orientation="portrait" horizontalDpi="4294967292" verticalDpi="300" r:id="rId1"/>
  <headerFooter alignWithMargins="0"/>
  <rowBreaks count="1" manualBreakCount="1">
    <brk id="58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8"/>
  <sheetViews>
    <sheetView topLeftCell="C1" zoomScale="120" zoomScaleNormal="120" workbookViewId="0">
      <selection activeCell="D13" sqref="D13"/>
    </sheetView>
    <sheetView workbookViewId="1">
      <selection activeCell="D24" sqref="D24"/>
    </sheetView>
  </sheetViews>
  <sheetFormatPr defaultColWidth="13" defaultRowHeight="13" x14ac:dyDescent="0.2"/>
  <cols>
    <col min="1" max="1" width="6.08984375" style="233" bestFit="1" customWidth="1"/>
    <col min="2" max="2" width="5.36328125" style="10" customWidth="1"/>
    <col min="3" max="3" width="4.6328125" style="10" customWidth="1"/>
    <col min="4" max="4" width="17.6328125" style="11" bestFit="1" customWidth="1"/>
    <col min="5" max="5" width="7" style="11" bestFit="1" customWidth="1"/>
    <col min="6" max="7" width="8.90625" style="11" bestFit="1" customWidth="1"/>
    <col min="8" max="8" width="6" style="11" bestFit="1" customWidth="1"/>
    <col min="9" max="10" width="0" style="11" hidden="1" customWidth="1"/>
    <col min="11" max="11" width="12" style="11" customWidth="1"/>
    <col min="12" max="16384" width="13" style="10"/>
  </cols>
  <sheetData>
    <row r="1" spans="1:11" x14ac:dyDescent="0.2">
      <c r="A1" s="233" t="s">
        <v>422</v>
      </c>
      <c r="B1" s="10" t="s">
        <v>82</v>
      </c>
    </row>
    <row r="2" spans="1:11" x14ac:dyDescent="0.2">
      <c r="B2" s="11" t="s">
        <v>142</v>
      </c>
      <c r="D2" s="11" t="s">
        <v>339</v>
      </c>
      <c r="E2" s="11" t="s">
        <v>143</v>
      </c>
      <c r="F2" s="11" t="s">
        <v>336</v>
      </c>
      <c r="G2" s="11" t="s">
        <v>363</v>
      </c>
      <c r="H2" s="11" t="s">
        <v>364</v>
      </c>
      <c r="I2" s="11" t="s">
        <v>132</v>
      </c>
      <c r="J2" s="11" t="s">
        <v>133</v>
      </c>
      <c r="K2" s="11" t="s">
        <v>360</v>
      </c>
    </row>
    <row r="3" spans="1:11" x14ac:dyDescent="0.2">
      <c r="A3" s="234"/>
      <c r="B3" s="11">
        <v>1</v>
      </c>
      <c r="C3" s="10">
        <v>1</v>
      </c>
      <c r="D3" s="1" t="s">
        <v>756</v>
      </c>
      <c r="E3" s="11" t="s">
        <v>145</v>
      </c>
      <c r="F3" s="1" t="s">
        <v>758</v>
      </c>
      <c r="G3" s="1" t="s">
        <v>759</v>
      </c>
      <c r="H3" s="11">
        <v>2</v>
      </c>
      <c r="K3" s="1" t="s">
        <v>765</v>
      </c>
    </row>
    <row r="4" spans="1:11" x14ac:dyDescent="0.2">
      <c r="B4" s="11"/>
      <c r="C4" s="10">
        <v>2</v>
      </c>
      <c r="E4" s="11" t="s">
        <v>53</v>
      </c>
      <c r="F4" s="1" t="s">
        <v>760</v>
      </c>
      <c r="G4" s="179" t="s">
        <v>761</v>
      </c>
      <c r="H4" s="11">
        <v>2</v>
      </c>
    </row>
    <row r="5" spans="1:11" x14ac:dyDescent="0.2">
      <c r="B5" s="11"/>
      <c r="C5" s="10">
        <v>3</v>
      </c>
      <c r="E5" s="11">
        <v>3</v>
      </c>
      <c r="F5" s="1" t="s">
        <v>591</v>
      </c>
      <c r="G5" s="1" t="s">
        <v>592</v>
      </c>
      <c r="H5" s="11">
        <v>3</v>
      </c>
    </row>
    <row r="6" spans="1:11" x14ac:dyDescent="0.2">
      <c r="B6" s="11"/>
      <c r="C6" s="10">
        <v>4</v>
      </c>
      <c r="E6" s="11">
        <v>2</v>
      </c>
      <c r="F6" s="1" t="s">
        <v>762</v>
      </c>
      <c r="G6" s="1" t="s">
        <v>763</v>
      </c>
      <c r="H6" s="11">
        <v>2</v>
      </c>
    </row>
    <row r="7" spans="1:11" x14ac:dyDescent="0.2">
      <c r="B7" s="11"/>
      <c r="C7" s="10">
        <v>5</v>
      </c>
      <c r="E7" s="11" t="s">
        <v>18</v>
      </c>
      <c r="F7" s="1" t="s">
        <v>760</v>
      </c>
      <c r="G7" s="179" t="s">
        <v>764</v>
      </c>
      <c r="H7" s="11">
        <v>2</v>
      </c>
    </row>
    <row r="8" spans="1:11" x14ac:dyDescent="0.2">
      <c r="B8" s="11"/>
      <c r="C8" s="10">
        <v>6</v>
      </c>
      <c r="E8" s="11" t="s">
        <v>372</v>
      </c>
      <c r="F8" s="1" t="s">
        <v>568</v>
      </c>
      <c r="G8" s="179" t="s">
        <v>569</v>
      </c>
      <c r="H8" s="11">
        <v>3</v>
      </c>
    </row>
    <row r="9" spans="1:11" x14ac:dyDescent="0.2">
      <c r="B9" s="11"/>
      <c r="C9" s="10">
        <v>7</v>
      </c>
      <c r="E9" s="11" t="s">
        <v>372</v>
      </c>
    </row>
    <row r="10" spans="1:11" x14ac:dyDescent="0.2">
      <c r="A10" s="234"/>
      <c r="B10" s="11">
        <v>2</v>
      </c>
      <c r="C10" s="10">
        <v>8</v>
      </c>
      <c r="D10" s="1" t="s">
        <v>757</v>
      </c>
      <c r="E10" s="11" t="s">
        <v>145</v>
      </c>
      <c r="F10" s="1" t="s">
        <v>766</v>
      </c>
      <c r="G10" s="1" t="s">
        <v>767</v>
      </c>
      <c r="H10" s="11">
        <v>2</v>
      </c>
      <c r="K10" s="1" t="s">
        <v>765</v>
      </c>
    </row>
    <row r="11" spans="1:11" x14ac:dyDescent="0.2">
      <c r="B11" s="11"/>
      <c r="C11" s="10">
        <v>9</v>
      </c>
      <c r="E11" s="11" t="s">
        <v>53</v>
      </c>
      <c r="F11" s="1" t="s">
        <v>593</v>
      </c>
      <c r="G11" s="1" t="s">
        <v>768</v>
      </c>
      <c r="H11" s="11">
        <v>2</v>
      </c>
    </row>
    <row r="12" spans="1:11" x14ac:dyDescent="0.2">
      <c r="B12" s="11"/>
      <c r="C12" s="10">
        <v>10</v>
      </c>
      <c r="E12" s="11">
        <v>3</v>
      </c>
      <c r="F12" s="1" t="s">
        <v>570</v>
      </c>
      <c r="G12" s="1" t="s">
        <v>769</v>
      </c>
      <c r="H12" s="11">
        <v>3</v>
      </c>
    </row>
    <row r="13" spans="1:11" x14ac:dyDescent="0.2">
      <c r="B13" s="11"/>
      <c r="C13" s="10">
        <v>11</v>
      </c>
      <c r="E13" s="11">
        <v>2</v>
      </c>
      <c r="F13" s="1" t="s">
        <v>573</v>
      </c>
      <c r="G13" s="1" t="s">
        <v>574</v>
      </c>
      <c r="H13" s="11">
        <v>3</v>
      </c>
    </row>
    <row r="14" spans="1:11" x14ac:dyDescent="0.2">
      <c r="B14" s="11"/>
      <c r="C14" s="10">
        <v>12</v>
      </c>
      <c r="E14" s="11" t="s">
        <v>18</v>
      </c>
      <c r="F14" s="1" t="s">
        <v>571</v>
      </c>
      <c r="G14" s="1" t="s">
        <v>572</v>
      </c>
      <c r="H14" s="11">
        <v>3</v>
      </c>
    </row>
    <row r="15" spans="1:11" x14ac:dyDescent="0.2">
      <c r="B15" s="11"/>
      <c r="C15" s="10">
        <v>13</v>
      </c>
      <c r="E15" s="11" t="s">
        <v>372</v>
      </c>
      <c r="F15" s="1" t="s">
        <v>589</v>
      </c>
      <c r="G15" s="1" t="s">
        <v>590</v>
      </c>
      <c r="H15" s="11">
        <v>3</v>
      </c>
    </row>
    <row r="16" spans="1:11" x14ac:dyDescent="0.2">
      <c r="B16" s="11"/>
      <c r="C16" s="10">
        <v>14</v>
      </c>
      <c r="E16" s="11" t="s">
        <v>372</v>
      </c>
      <c r="F16" s="150"/>
      <c r="G16" s="1"/>
    </row>
    <row r="17" spans="1:11" x14ac:dyDescent="0.2">
      <c r="A17" s="234"/>
      <c r="B17" s="11">
        <v>3</v>
      </c>
      <c r="C17" s="10">
        <v>15</v>
      </c>
      <c r="D17" s="1" t="s">
        <v>953</v>
      </c>
      <c r="E17" s="11" t="s">
        <v>145</v>
      </c>
      <c r="F17" s="1" t="s">
        <v>752</v>
      </c>
      <c r="G17" s="1" t="s">
        <v>955</v>
      </c>
      <c r="H17" s="11">
        <v>3</v>
      </c>
      <c r="K17" s="1" t="s">
        <v>966</v>
      </c>
    </row>
    <row r="18" spans="1:11" x14ac:dyDescent="0.2">
      <c r="B18" s="11"/>
      <c r="C18" s="10">
        <v>16</v>
      </c>
      <c r="E18" s="11" t="s">
        <v>53</v>
      </c>
      <c r="F18" s="1" t="s">
        <v>956</v>
      </c>
      <c r="G18" s="1" t="s">
        <v>957</v>
      </c>
      <c r="H18" s="11">
        <v>3</v>
      </c>
    </row>
    <row r="19" spans="1:11" x14ac:dyDescent="0.2">
      <c r="B19" s="11"/>
      <c r="C19" s="10">
        <v>17</v>
      </c>
      <c r="E19" s="11">
        <v>3</v>
      </c>
      <c r="F19" s="1" t="s">
        <v>958</v>
      </c>
      <c r="G19" s="1" t="s">
        <v>959</v>
      </c>
      <c r="H19" s="11">
        <v>3</v>
      </c>
    </row>
    <row r="20" spans="1:11" x14ac:dyDescent="0.2">
      <c r="B20" s="11"/>
      <c r="C20" s="10">
        <v>18</v>
      </c>
      <c r="E20" s="11">
        <v>2</v>
      </c>
      <c r="F20" s="1" t="s">
        <v>960</v>
      </c>
      <c r="G20" s="1" t="s">
        <v>961</v>
      </c>
      <c r="H20" s="11">
        <v>3</v>
      </c>
    </row>
    <row r="21" spans="1:11" x14ac:dyDescent="0.2">
      <c r="B21" s="11"/>
      <c r="C21" s="10">
        <v>19</v>
      </c>
      <c r="E21" s="11" t="s">
        <v>54</v>
      </c>
      <c r="F21" s="1" t="s">
        <v>962</v>
      </c>
      <c r="G21" s="1" t="s">
        <v>963</v>
      </c>
      <c r="H21" s="11">
        <v>3</v>
      </c>
    </row>
    <row r="22" spans="1:11" x14ac:dyDescent="0.2">
      <c r="B22" s="11"/>
      <c r="C22" s="10">
        <v>20</v>
      </c>
      <c r="E22" s="11" t="s">
        <v>372</v>
      </c>
      <c r="F22" s="1" t="s">
        <v>943</v>
      </c>
      <c r="G22" s="1" t="s">
        <v>944</v>
      </c>
      <c r="H22" s="11">
        <v>3</v>
      </c>
    </row>
    <row r="23" spans="1:11" x14ac:dyDescent="0.2">
      <c r="B23" s="11"/>
      <c r="C23" s="10">
        <v>21</v>
      </c>
      <c r="E23" s="11" t="s">
        <v>372</v>
      </c>
      <c r="F23" s="1" t="s">
        <v>964</v>
      </c>
      <c r="G23" s="1" t="s">
        <v>965</v>
      </c>
      <c r="H23" s="11">
        <v>3</v>
      </c>
    </row>
    <row r="24" spans="1:11" x14ac:dyDescent="0.2">
      <c r="A24" s="234"/>
      <c r="B24" s="11">
        <v>4</v>
      </c>
      <c r="C24" s="10">
        <v>22</v>
      </c>
      <c r="D24" s="1" t="s">
        <v>954</v>
      </c>
      <c r="E24" s="11" t="s">
        <v>145</v>
      </c>
      <c r="F24" s="1" t="s">
        <v>967</v>
      </c>
      <c r="G24" s="1" t="s">
        <v>968</v>
      </c>
      <c r="H24" s="11">
        <v>2</v>
      </c>
      <c r="K24" s="1" t="s">
        <v>979</v>
      </c>
    </row>
    <row r="25" spans="1:11" x14ac:dyDescent="0.2">
      <c r="B25" s="11"/>
      <c r="C25" s="10">
        <v>23</v>
      </c>
      <c r="E25" s="11" t="s">
        <v>134</v>
      </c>
      <c r="F25" s="1" t="s">
        <v>969</v>
      </c>
      <c r="G25" s="1" t="s">
        <v>970</v>
      </c>
      <c r="H25" s="11">
        <v>2</v>
      </c>
    </row>
    <row r="26" spans="1:11" x14ac:dyDescent="0.2">
      <c r="B26" s="11"/>
      <c r="C26" s="10">
        <v>24</v>
      </c>
      <c r="E26" s="11">
        <v>3</v>
      </c>
      <c r="F26" s="1" t="s">
        <v>971</v>
      </c>
      <c r="G26" s="1" t="s">
        <v>972</v>
      </c>
      <c r="H26" s="11">
        <v>2</v>
      </c>
    </row>
    <row r="27" spans="1:11" x14ac:dyDescent="0.2">
      <c r="B27" s="11"/>
      <c r="C27" s="10">
        <v>25</v>
      </c>
      <c r="E27" s="11">
        <v>2</v>
      </c>
      <c r="F27" s="1" t="s">
        <v>973</v>
      </c>
      <c r="G27" s="1" t="s">
        <v>974</v>
      </c>
      <c r="H27" s="11">
        <v>2</v>
      </c>
    </row>
    <row r="28" spans="1:11" x14ac:dyDescent="0.2">
      <c r="B28" s="11"/>
      <c r="C28" s="10">
        <v>26</v>
      </c>
      <c r="E28" s="11" t="s">
        <v>139</v>
      </c>
      <c r="F28" s="1" t="s">
        <v>975</v>
      </c>
      <c r="G28" s="1" t="s">
        <v>976</v>
      </c>
      <c r="H28" s="11">
        <v>2</v>
      </c>
    </row>
    <row r="29" spans="1:11" x14ac:dyDescent="0.2">
      <c r="B29" s="11"/>
      <c r="C29" s="10">
        <v>27</v>
      </c>
      <c r="E29" s="11" t="s">
        <v>372</v>
      </c>
      <c r="F29" s="1" t="s">
        <v>948</v>
      </c>
      <c r="G29" s="1" t="s">
        <v>949</v>
      </c>
      <c r="H29" s="11">
        <v>3</v>
      </c>
    </row>
    <row r="30" spans="1:11" x14ac:dyDescent="0.2">
      <c r="B30" s="11"/>
      <c r="C30" s="10">
        <v>28</v>
      </c>
      <c r="E30" s="11" t="s">
        <v>372</v>
      </c>
      <c r="F30" s="1" t="s">
        <v>977</v>
      </c>
      <c r="G30" s="1" t="s">
        <v>978</v>
      </c>
      <c r="H30" s="11">
        <v>2</v>
      </c>
    </row>
    <row r="31" spans="1:11" x14ac:dyDescent="0.2">
      <c r="B31" s="11">
        <v>5</v>
      </c>
      <c r="C31" s="10">
        <v>29</v>
      </c>
      <c r="D31" s="1"/>
      <c r="E31" s="11" t="s">
        <v>151</v>
      </c>
      <c r="F31" s="1"/>
      <c r="G31" s="1"/>
      <c r="K31" s="1"/>
    </row>
    <row r="32" spans="1:11" x14ac:dyDescent="0.2">
      <c r="C32" s="10">
        <v>30</v>
      </c>
      <c r="E32" s="11" t="s">
        <v>152</v>
      </c>
      <c r="F32" s="1"/>
      <c r="G32" s="1"/>
    </row>
    <row r="33" spans="2:7" x14ac:dyDescent="0.2">
      <c r="C33" s="10">
        <v>31</v>
      </c>
      <c r="E33" s="11">
        <v>3</v>
      </c>
      <c r="F33" s="1"/>
      <c r="G33" s="1"/>
    </row>
    <row r="34" spans="2:7" x14ac:dyDescent="0.2">
      <c r="C34" s="10">
        <v>32</v>
      </c>
      <c r="E34" s="11">
        <v>2</v>
      </c>
      <c r="F34" s="1"/>
      <c r="G34" s="1"/>
    </row>
    <row r="35" spans="2:7" x14ac:dyDescent="0.2">
      <c r="C35" s="10">
        <v>33</v>
      </c>
      <c r="E35" s="11" t="s">
        <v>140</v>
      </c>
      <c r="F35" s="1"/>
      <c r="G35" s="1"/>
    </row>
    <row r="36" spans="2:7" x14ac:dyDescent="0.2">
      <c r="C36" s="10">
        <v>34</v>
      </c>
      <c r="E36" s="11" t="s">
        <v>372</v>
      </c>
    </row>
    <row r="37" spans="2:7" x14ac:dyDescent="0.2">
      <c r="C37" s="10">
        <v>35</v>
      </c>
      <c r="E37" s="11" t="s">
        <v>372</v>
      </c>
    </row>
    <row r="38" spans="2:7" x14ac:dyDescent="0.2">
      <c r="B38" s="11">
        <v>6</v>
      </c>
      <c r="C38" s="10">
        <v>36</v>
      </c>
      <c r="E38" s="11" t="s">
        <v>149</v>
      </c>
      <c r="G38" s="117"/>
    </row>
    <row r="39" spans="2:7" x14ac:dyDescent="0.2">
      <c r="C39" s="10">
        <v>37</v>
      </c>
      <c r="E39" s="11" t="s">
        <v>153</v>
      </c>
    </row>
    <row r="40" spans="2:7" x14ac:dyDescent="0.2">
      <c r="C40" s="10">
        <v>38</v>
      </c>
      <c r="E40" s="11">
        <v>3</v>
      </c>
    </row>
    <row r="41" spans="2:7" x14ac:dyDescent="0.2">
      <c r="C41" s="10">
        <v>39</v>
      </c>
      <c r="E41" s="11">
        <v>2</v>
      </c>
    </row>
    <row r="42" spans="2:7" x14ac:dyDescent="0.2">
      <c r="C42" s="10">
        <v>40</v>
      </c>
      <c r="E42" s="11" t="s">
        <v>154</v>
      </c>
    </row>
    <row r="43" spans="2:7" x14ac:dyDescent="0.2">
      <c r="C43" s="10">
        <v>41</v>
      </c>
      <c r="E43" s="11" t="s">
        <v>372</v>
      </c>
    </row>
    <row r="44" spans="2:7" x14ac:dyDescent="0.2">
      <c r="C44" s="10">
        <v>42</v>
      </c>
      <c r="E44" s="11" t="s">
        <v>372</v>
      </c>
    </row>
    <row r="45" spans="2:7" x14ac:dyDescent="0.2">
      <c r="B45" s="11">
        <v>7</v>
      </c>
      <c r="C45" s="10">
        <v>43</v>
      </c>
      <c r="E45" s="11" t="s">
        <v>149</v>
      </c>
    </row>
    <row r="46" spans="2:7" x14ac:dyDescent="0.2">
      <c r="C46" s="10">
        <v>44</v>
      </c>
      <c r="E46" s="11" t="s">
        <v>153</v>
      </c>
      <c r="G46" s="117"/>
    </row>
    <row r="47" spans="2:7" x14ac:dyDescent="0.2">
      <c r="C47" s="10">
        <v>45</v>
      </c>
      <c r="E47" s="11">
        <v>3</v>
      </c>
      <c r="G47" s="117"/>
    </row>
    <row r="48" spans="2:7" x14ac:dyDescent="0.2">
      <c r="C48" s="10">
        <v>46</v>
      </c>
      <c r="E48" s="11">
        <v>2</v>
      </c>
    </row>
    <row r="49" spans="2:11" x14ac:dyDescent="0.2">
      <c r="C49" s="10">
        <v>47</v>
      </c>
      <c r="E49" s="11" t="s">
        <v>150</v>
      </c>
    </row>
    <row r="50" spans="2:11" x14ac:dyDescent="0.2">
      <c r="C50" s="10">
        <v>48</v>
      </c>
      <c r="E50" s="11" t="s">
        <v>372</v>
      </c>
      <c r="G50" s="117"/>
    </row>
    <row r="51" spans="2:11" x14ac:dyDescent="0.2">
      <c r="C51" s="10">
        <v>49</v>
      </c>
      <c r="E51" s="11" t="s">
        <v>372</v>
      </c>
    </row>
    <row r="52" spans="2:11" x14ac:dyDescent="0.2">
      <c r="B52" s="11">
        <v>8</v>
      </c>
      <c r="C52" s="10">
        <v>50</v>
      </c>
      <c r="D52" s="1"/>
      <c r="E52" s="11" t="s">
        <v>148</v>
      </c>
      <c r="F52" s="1"/>
      <c r="G52" s="1"/>
      <c r="K52" s="1"/>
    </row>
    <row r="53" spans="2:11" x14ac:dyDescent="0.2">
      <c r="C53" s="10">
        <v>51</v>
      </c>
      <c r="E53" s="11" t="s">
        <v>137</v>
      </c>
      <c r="F53" s="1"/>
      <c r="G53" s="1"/>
    </row>
    <row r="54" spans="2:11" x14ac:dyDescent="0.2">
      <c r="C54" s="10">
        <v>52</v>
      </c>
      <c r="E54" s="11">
        <v>3</v>
      </c>
      <c r="F54" s="1"/>
      <c r="G54" s="1"/>
    </row>
    <row r="55" spans="2:11" x14ac:dyDescent="0.2">
      <c r="C55" s="10">
        <v>53</v>
      </c>
      <c r="E55" s="11">
        <v>2</v>
      </c>
      <c r="F55" s="1"/>
      <c r="G55" s="1"/>
    </row>
    <row r="56" spans="2:11" x14ac:dyDescent="0.2">
      <c r="C56" s="10">
        <v>54</v>
      </c>
      <c r="E56" s="11" t="s">
        <v>139</v>
      </c>
      <c r="F56" s="1"/>
      <c r="G56" s="1"/>
    </row>
    <row r="57" spans="2:11" x14ac:dyDescent="0.2">
      <c r="C57" s="10">
        <v>55</v>
      </c>
      <c r="E57" s="11" t="s">
        <v>372</v>
      </c>
    </row>
    <row r="58" spans="2:11" x14ac:dyDescent="0.2">
      <c r="C58" s="10">
        <v>56</v>
      </c>
      <c r="E58" s="11" t="s">
        <v>372</v>
      </c>
    </row>
  </sheetData>
  <phoneticPr fontId="1"/>
  <pageMargins left="0.61" right="0.55000000000000004" top="1" bottom="1" header="0.51200000000000001" footer="0.51200000000000001"/>
  <pageSetup paperSize="9" scale="97" orientation="portrait" horizontalDpi="4294967292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9669-5D0F-4C51-BCF3-2785BEFF9A0F}">
  <dimension ref="A6:V38"/>
  <sheetViews>
    <sheetView workbookViewId="0">
      <selection activeCell="B9" sqref="B9"/>
    </sheetView>
    <sheetView workbookViewId="1"/>
  </sheetViews>
  <sheetFormatPr defaultRowHeight="13" x14ac:dyDescent="0.2"/>
  <cols>
    <col min="1" max="1" width="8.08984375" customWidth="1"/>
    <col min="2" max="4" width="6.08984375" customWidth="1"/>
    <col min="5" max="5" width="3.26953125" customWidth="1"/>
    <col min="6" max="6" width="6.08984375" customWidth="1"/>
    <col min="7" max="7" width="3.26953125" customWidth="1"/>
    <col min="8" max="8" width="10.08984375" customWidth="1"/>
    <col min="9" max="10" width="7.36328125" customWidth="1"/>
    <col min="11" max="11" width="5.6328125" customWidth="1"/>
    <col min="12" max="19" width="5.08984375" customWidth="1"/>
    <col min="20" max="21" width="8.6328125" customWidth="1"/>
    <col min="258" max="258" width="8.08984375" customWidth="1"/>
    <col min="259" max="261" width="6.08984375" customWidth="1"/>
    <col min="262" max="262" width="3.26953125" customWidth="1"/>
    <col min="263" max="263" width="10.08984375" customWidth="1"/>
    <col min="264" max="266" width="7.36328125" customWidth="1"/>
    <col min="267" max="267" width="5.6328125" customWidth="1"/>
    <col min="268" max="275" width="5.08984375" customWidth="1"/>
    <col min="276" max="277" width="8.6328125" customWidth="1"/>
    <col min="514" max="514" width="8.08984375" customWidth="1"/>
    <col min="515" max="517" width="6.08984375" customWidth="1"/>
    <col min="518" max="518" width="3.26953125" customWidth="1"/>
    <col min="519" max="519" width="10.08984375" customWidth="1"/>
    <col min="520" max="522" width="7.36328125" customWidth="1"/>
    <col min="523" max="523" width="5.6328125" customWidth="1"/>
    <col min="524" max="531" width="5.08984375" customWidth="1"/>
    <col min="532" max="533" width="8.6328125" customWidth="1"/>
    <col min="770" max="770" width="8.08984375" customWidth="1"/>
    <col min="771" max="773" width="6.08984375" customWidth="1"/>
    <col min="774" max="774" width="3.26953125" customWidth="1"/>
    <col min="775" max="775" width="10.08984375" customWidth="1"/>
    <col min="776" max="778" width="7.36328125" customWidth="1"/>
    <col min="779" max="779" width="5.6328125" customWidth="1"/>
    <col min="780" max="787" width="5.08984375" customWidth="1"/>
    <col min="788" max="789" width="8.6328125" customWidth="1"/>
    <col min="1026" max="1026" width="8.08984375" customWidth="1"/>
    <col min="1027" max="1029" width="6.08984375" customWidth="1"/>
    <col min="1030" max="1030" width="3.26953125" customWidth="1"/>
    <col min="1031" max="1031" width="10.08984375" customWidth="1"/>
    <col min="1032" max="1034" width="7.36328125" customWidth="1"/>
    <col min="1035" max="1035" width="5.6328125" customWidth="1"/>
    <col min="1036" max="1043" width="5.08984375" customWidth="1"/>
    <col min="1044" max="1045" width="8.6328125" customWidth="1"/>
    <col min="1282" max="1282" width="8.08984375" customWidth="1"/>
    <col min="1283" max="1285" width="6.08984375" customWidth="1"/>
    <col min="1286" max="1286" width="3.26953125" customWidth="1"/>
    <col min="1287" max="1287" width="10.08984375" customWidth="1"/>
    <col min="1288" max="1290" width="7.36328125" customWidth="1"/>
    <col min="1291" max="1291" width="5.6328125" customWidth="1"/>
    <col min="1292" max="1299" width="5.08984375" customWidth="1"/>
    <col min="1300" max="1301" width="8.6328125" customWidth="1"/>
    <col min="1538" max="1538" width="8.08984375" customWidth="1"/>
    <col min="1539" max="1541" width="6.08984375" customWidth="1"/>
    <col min="1542" max="1542" width="3.26953125" customWidth="1"/>
    <col min="1543" max="1543" width="10.08984375" customWidth="1"/>
    <col min="1544" max="1546" width="7.36328125" customWidth="1"/>
    <col min="1547" max="1547" width="5.6328125" customWidth="1"/>
    <col min="1548" max="1555" width="5.08984375" customWidth="1"/>
    <col min="1556" max="1557" width="8.6328125" customWidth="1"/>
    <col min="1794" max="1794" width="8.08984375" customWidth="1"/>
    <col min="1795" max="1797" width="6.08984375" customWidth="1"/>
    <col min="1798" max="1798" width="3.26953125" customWidth="1"/>
    <col min="1799" max="1799" width="10.08984375" customWidth="1"/>
    <col min="1800" max="1802" width="7.36328125" customWidth="1"/>
    <col min="1803" max="1803" width="5.6328125" customWidth="1"/>
    <col min="1804" max="1811" width="5.08984375" customWidth="1"/>
    <col min="1812" max="1813" width="8.6328125" customWidth="1"/>
    <col min="2050" max="2050" width="8.08984375" customWidth="1"/>
    <col min="2051" max="2053" width="6.08984375" customWidth="1"/>
    <col min="2054" max="2054" width="3.26953125" customWidth="1"/>
    <col min="2055" max="2055" width="10.08984375" customWidth="1"/>
    <col min="2056" max="2058" width="7.36328125" customWidth="1"/>
    <col min="2059" max="2059" width="5.6328125" customWidth="1"/>
    <col min="2060" max="2067" width="5.08984375" customWidth="1"/>
    <col min="2068" max="2069" width="8.6328125" customWidth="1"/>
    <col min="2306" max="2306" width="8.08984375" customWidth="1"/>
    <col min="2307" max="2309" width="6.08984375" customWidth="1"/>
    <col min="2310" max="2310" width="3.26953125" customWidth="1"/>
    <col min="2311" max="2311" width="10.08984375" customWidth="1"/>
    <col min="2312" max="2314" width="7.36328125" customWidth="1"/>
    <col min="2315" max="2315" width="5.6328125" customWidth="1"/>
    <col min="2316" max="2323" width="5.08984375" customWidth="1"/>
    <col min="2324" max="2325" width="8.6328125" customWidth="1"/>
    <col min="2562" max="2562" width="8.08984375" customWidth="1"/>
    <col min="2563" max="2565" width="6.08984375" customWidth="1"/>
    <col min="2566" max="2566" width="3.26953125" customWidth="1"/>
    <col min="2567" max="2567" width="10.08984375" customWidth="1"/>
    <col min="2568" max="2570" width="7.36328125" customWidth="1"/>
    <col min="2571" max="2571" width="5.6328125" customWidth="1"/>
    <col min="2572" max="2579" width="5.08984375" customWidth="1"/>
    <col min="2580" max="2581" width="8.6328125" customWidth="1"/>
    <col min="2818" max="2818" width="8.08984375" customWidth="1"/>
    <col min="2819" max="2821" width="6.08984375" customWidth="1"/>
    <col min="2822" max="2822" width="3.26953125" customWidth="1"/>
    <col min="2823" max="2823" width="10.08984375" customWidth="1"/>
    <col min="2824" max="2826" width="7.36328125" customWidth="1"/>
    <col min="2827" max="2827" width="5.6328125" customWidth="1"/>
    <col min="2828" max="2835" width="5.08984375" customWidth="1"/>
    <col min="2836" max="2837" width="8.6328125" customWidth="1"/>
    <col min="3074" max="3074" width="8.08984375" customWidth="1"/>
    <col min="3075" max="3077" width="6.08984375" customWidth="1"/>
    <col min="3078" max="3078" width="3.26953125" customWidth="1"/>
    <col min="3079" max="3079" width="10.08984375" customWidth="1"/>
    <col min="3080" max="3082" width="7.36328125" customWidth="1"/>
    <col min="3083" max="3083" width="5.6328125" customWidth="1"/>
    <col min="3084" max="3091" width="5.08984375" customWidth="1"/>
    <col min="3092" max="3093" width="8.6328125" customWidth="1"/>
    <col min="3330" max="3330" width="8.08984375" customWidth="1"/>
    <col min="3331" max="3333" width="6.08984375" customWidth="1"/>
    <col min="3334" max="3334" width="3.26953125" customWidth="1"/>
    <col min="3335" max="3335" width="10.08984375" customWidth="1"/>
    <col min="3336" max="3338" width="7.36328125" customWidth="1"/>
    <col min="3339" max="3339" width="5.6328125" customWidth="1"/>
    <col min="3340" max="3347" width="5.08984375" customWidth="1"/>
    <col min="3348" max="3349" width="8.6328125" customWidth="1"/>
    <col min="3586" max="3586" width="8.08984375" customWidth="1"/>
    <col min="3587" max="3589" width="6.08984375" customWidth="1"/>
    <col min="3590" max="3590" width="3.26953125" customWidth="1"/>
    <col min="3591" max="3591" width="10.08984375" customWidth="1"/>
    <col min="3592" max="3594" width="7.36328125" customWidth="1"/>
    <col min="3595" max="3595" width="5.6328125" customWidth="1"/>
    <col min="3596" max="3603" width="5.08984375" customWidth="1"/>
    <col min="3604" max="3605" width="8.6328125" customWidth="1"/>
    <col min="3842" max="3842" width="8.08984375" customWidth="1"/>
    <col min="3843" max="3845" width="6.08984375" customWidth="1"/>
    <col min="3846" max="3846" width="3.26953125" customWidth="1"/>
    <col min="3847" max="3847" width="10.08984375" customWidth="1"/>
    <col min="3848" max="3850" width="7.36328125" customWidth="1"/>
    <col min="3851" max="3851" width="5.6328125" customWidth="1"/>
    <col min="3852" max="3859" width="5.08984375" customWidth="1"/>
    <col min="3860" max="3861" width="8.6328125" customWidth="1"/>
    <col min="4098" max="4098" width="8.08984375" customWidth="1"/>
    <col min="4099" max="4101" width="6.08984375" customWidth="1"/>
    <col min="4102" max="4102" width="3.26953125" customWidth="1"/>
    <col min="4103" max="4103" width="10.08984375" customWidth="1"/>
    <col min="4104" max="4106" width="7.36328125" customWidth="1"/>
    <col min="4107" max="4107" width="5.6328125" customWidth="1"/>
    <col min="4108" max="4115" width="5.08984375" customWidth="1"/>
    <col min="4116" max="4117" width="8.6328125" customWidth="1"/>
    <col min="4354" max="4354" width="8.08984375" customWidth="1"/>
    <col min="4355" max="4357" width="6.08984375" customWidth="1"/>
    <col min="4358" max="4358" width="3.26953125" customWidth="1"/>
    <col min="4359" max="4359" width="10.08984375" customWidth="1"/>
    <col min="4360" max="4362" width="7.36328125" customWidth="1"/>
    <col min="4363" max="4363" width="5.6328125" customWidth="1"/>
    <col min="4364" max="4371" width="5.08984375" customWidth="1"/>
    <col min="4372" max="4373" width="8.6328125" customWidth="1"/>
    <col min="4610" max="4610" width="8.08984375" customWidth="1"/>
    <col min="4611" max="4613" width="6.08984375" customWidth="1"/>
    <col min="4614" max="4614" width="3.26953125" customWidth="1"/>
    <col min="4615" max="4615" width="10.08984375" customWidth="1"/>
    <col min="4616" max="4618" width="7.36328125" customWidth="1"/>
    <col min="4619" max="4619" width="5.6328125" customWidth="1"/>
    <col min="4620" max="4627" width="5.08984375" customWidth="1"/>
    <col min="4628" max="4629" width="8.6328125" customWidth="1"/>
    <col min="4866" max="4866" width="8.08984375" customWidth="1"/>
    <col min="4867" max="4869" width="6.08984375" customWidth="1"/>
    <col min="4870" max="4870" width="3.26953125" customWidth="1"/>
    <col min="4871" max="4871" width="10.08984375" customWidth="1"/>
    <col min="4872" max="4874" width="7.36328125" customWidth="1"/>
    <col min="4875" max="4875" width="5.6328125" customWidth="1"/>
    <col min="4876" max="4883" width="5.08984375" customWidth="1"/>
    <col min="4884" max="4885" width="8.6328125" customWidth="1"/>
    <col min="5122" max="5122" width="8.08984375" customWidth="1"/>
    <col min="5123" max="5125" width="6.08984375" customWidth="1"/>
    <col min="5126" max="5126" width="3.26953125" customWidth="1"/>
    <col min="5127" max="5127" width="10.08984375" customWidth="1"/>
    <col min="5128" max="5130" width="7.36328125" customWidth="1"/>
    <col min="5131" max="5131" width="5.6328125" customWidth="1"/>
    <col min="5132" max="5139" width="5.08984375" customWidth="1"/>
    <col min="5140" max="5141" width="8.6328125" customWidth="1"/>
    <col min="5378" max="5378" width="8.08984375" customWidth="1"/>
    <col min="5379" max="5381" width="6.08984375" customWidth="1"/>
    <col min="5382" max="5382" width="3.26953125" customWidth="1"/>
    <col min="5383" max="5383" width="10.08984375" customWidth="1"/>
    <col min="5384" max="5386" width="7.36328125" customWidth="1"/>
    <col min="5387" max="5387" width="5.6328125" customWidth="1"/>
    <col min="5388" max="5395" width="5.08984375" customWidth="1"/>
    <col min="5396" max="5397" width="8.6328125" customWidth="1"/>
    <col min="5634" max="5634" width="8.08984375" customWidth="1"/>
    <col min="5635" max="5637" width="6.08984375" customWidth="1"/>
    <col min="5638" max="5638" width="3.26953125" customWidth="1"/>
    <col min="5639" max="5639" width="10.08984375" customWidth="1"/>
    <col min="5640" max="5642" width="7.36328125" customWidth="1"/>
    <col min="5643" max="5643" width="5.6328125" customWidth="1"/>
    <col min="5644" max="5651" width="5.08984375" customWidth="1"/>
    <col min="5652" max="5653" width="8.6328125" customWidth="1"/>
    <col min="5890" max="5890" width="8.08984375" customWidth="1"/>
    <col min="5891" max="5893" width="6.08984375" customWidth="1"/>
    <col min="5894" max="5894" width="3.26953125" customWidth="1"/>
    <col min="5895" max="5895" width="10.08984375" customWidth="1"/>
    <col min="5896" max="5898" width="7.36328125" customWidth="1"/>
    <col min="5899" max="5899" width="5.6328125" customWidth="1"/>
    <col min="5900" max="5907" width="5.08984375" customWidth="1"/>
    <col min="5908" max="5909" width="8.6328125" customWidth="1"/>
    <col min="6146" max="6146" width="8.08984375" customWidth="1"/>
    <col min="6147" max="6149" width="6.08984375" customWidth="1"/>
    <col min="6150" max="6150" width="3.26953125" customWidth="1"/>
    <col min="6151" max="6151" width="10.08984375" customWidth="1"/>
    <col min="6152" max="6154" width="7.36328125" customWidth="1"/>
    <col min="6155" max="6155" width="5.6328125" customWidth="1"/>
    <col min="6156" max="6163" width="5.08984375" customWidth="1"/>
    <col min="6164" max="6165" width="8.6328125" customWidth="1"/>
    <col min="6402" max="6402" width="8.08984375" customWidth="1"/>
    <col min="6403" max="6405" width="6.08984375" customWidth="1"/>
    <col min="6406" max="6406" width="3.26953125" customWidth="1"/>
    <col min="6407" max="6407" width="10.08984375" customWidth="1"/>
    <col min="6408" max="6410" width="7.36328125" customWidth="1"/>
    <col min="6411" max="6411" width="5.6328125" customWidth="1"/>
    <col min="6412" max="6419" width="5.08984375" customWidth="1"/>
    <col min="6420" max="6421" width="8.6328125" customWidth="1"/>
    <col min="6658" max="6658" width="8.08984375" customWidth="1"/>
    <col min="6659" max="6661" width="6.08984375" customWidth="1"/>
    <col min="6662" max="6662" width="3.26953125" customWidth="1"/>
    <col min="6663" max="6663" width="10.08984375" customWidth="1"/>
    <col min="6664" max="6666" width="7.36328125" customWidth="1"/>
    <col min="6667" max="6667" width="5.6328125" customWidth="1"/>
    <col min="6668" max="6675" width="5.08984375" customWidth="1"/>
    <col min="6676" max="6677" width="8.6328125" customWidth="1"/>
    <col min="6914" max="6914" width="8.08984375" customWidth="1"/>
    <col min="6915" max="6917" width="6.08984375" customWidth="1"/>
    <col min="6918" max="6918" width="3.26953125" customWidth="1"/>
    <col min="6919" max="6919" width="10.08984375" customWidth="1"/>
    <col min="6920" max="6922" width="7.36328125" customWidth="1"/>
    <col min="6923" max="6923" width="5.6328125" customWidth="1"/>
    <col min="6924" max="6931" width="5.08984375" customWidth="1"/>
    <col min="6932" max="6933" width="8.6328125" customWidth="1"/>
    <col min="7170" max="7170" width="8.08984375" customWidth="1"/>
    <col min="7171" max="7173" width="6.08984375" customWidth="1"/>
    <col min="7174" max="7174" width="3.26953125" customWidth="1"/>
    <col min="7175" max="7175" width="10.08984375" customWidth="1"/>
    <col min="7176" max="7178" width="7.36328125" customWidth="1"/>
    <col min="7179" max="7179" width="5.6328125" customWidth="1"/>
    <col min="7180" max="7187" width="5.08984375" customWidth="1"/>
    <col min="7188" max="7189" width="8.6328125" customWidth="1"/>
    <col min="7426" max="7426" width="8.08984375" customWidth="1"/>
    <col min="7427" max="7429" width="6.08984375" customWidth="1"/>
    <col min="7430" max="7430" width="3.26953125" customWidth="1"/>
    <col min="7431" max="7431" width="10.08984375" customWidth="1"/>
    <col min="7432" max="7434" width="7.36328125" customWidth="1"/>
    <col min="7435" max="7435" width="5.6328125" customWidth="1"/>
    <col min="7436" max="7443" width="5.08984375" customWidth="1"/>
    <col min="7444" max="7445" width="8.6328125" customWidth="1"/>
    <col min="7682" max="7682" width="8.08984375" customWidth="1"/>
    <col min="7683" max="7685" width="6.08984375" customWidth="1"/>
    <col min="7686" max="7686" width="3.26953125" customWidth="1"/>
    <col min="7687" max="7687" width="10.08984375" customWidth="1"/>
    <col min="7688" max="7690" width="7.36328125" customWidth="1"/>
    <col min="7691" max="7691" width="5.6328125" customWidth="1"/>
    <col min="7692" max="7699" width="5.08984375" customWidth="1"/>
    <col min="7700" max="7701" width="8.6328125" customWidth="1"/>
    <col min="7938" max="7938" width="8.08984375" customWidth="1"/>
    <col min="7939" max="7941" width="6.08984375" customWidth="1"/>
    <col min="7942" max="7942" width="3.26953125" customWidth="1"/>
    <col min="7943" max="7943" width="10.08984375" customWidth="1"/>
    <col min="7944" max="7946" width="7.36328125" customWidth="1"/>
    <col min="7947" max="7947" width="5.6328125" customWidth="1"/>
    <col min="7948" max="7955" width="5.08984375" customWidth="1"/>
    <col min="7956" max="7957" width="8.6328125" customWidth="1"/>
    <col min="8194" max="8194" width="8.08984375" customWidth="1"/>
    <col min="8195" max="8197" width="6.08984375" customWidth="1"/>
    <col min="8198" max="8198" width="3.26953125" customWidth="1"/>
    <col min="8199" max="8199" width="10.08984375" customWidth="1"/>
    <col min="8200" max="8202" width="7.36328125" customWidth="1"/>
    <col min="8203" max="8203" width="5.6328125" customWidth="1"/>
    <col min="8204" max="8211" width="5.08984375" customWidth="1"/>
    <col min="8212" max="8213" width="8.6328125" customWidth="1"/>
    <col min="8450" max="8450" width="8.08984375" customWidth="1"/>
    <col min="8451" max="8453" width="6.08984375" customWidth="1"/>
    <col min="8454" max="8454" width="3.26953125" customWidth="1"/>
    <col min="8455" max="8455" width="10.08984375" customWidth="1"/>
    <col min="8456" max="8458" width="7.36328125" customWidth="1"/>
    <col min="8459" max="8459" width="5.6328125" customWidth="1"/>
    <col min="8460" max="8467" width="5.08984375" customWidth="1"/>
    <col min="8468" max="8469" width="8.6328125" customWidth="1"/>
    <col min="8706" max="8706" width="8.08984375" customWidth="1"/>
    <col min="8707" max="8709" width="6.08984375" customWidth="1"/>
    <col min="8710" max="8710" width="3.26953125" customWidth="1"/>
    <col min="8711" max="8711" width="10.08984375" customWidth="1"/>
    <col min="8712" max="8714" width="7.36328125" customWidth="1"/>
    <col min="8715" max="8715" width="5.6328125" customWidth="1"/>
    <col min="8716" max="8723" width="5.08984375" customWidth="1"/>
    <col min="8724" max="8725" width="8.6328125" customWidth="1"/>
    <col min="8962" max="8962" width="8.08984375" customWidth="1"/>
    <col min="8963" max="8965" width="6.08984375" customWidth="1"/>
    <col min="8966" max="8966" width="3.26953125" customWidth="1"/>
    <col min="8967" max="8967" width="10.08984375" customWidth="1"/>
    <col min="8968" max="8970" width="7.36328125" customWidth="1"/>
    <col min="8971" max="8971" width="5.6328125" customWidth="1"/>
    <col min="8972" max="8979" width="5.08984375" customWidth="1"/>
    <col min="8980" max="8981" width="8.6328125" customWidth="1"/>
    <col min="9218" max="9218" width="8.08984375" customWidth="1"/>
    <col min="9219" max="9221" width="6.08984375" customWidth="1"/>
    <col min="9222" max="9222" width="3.26953125" customWidth="1"/>
    <col min="9223" max="9223" width="10.08984375" customWidth="1"/>
    <col min="9224" max="9226" width="7.36328125" customWidth="1"/>
    <col min="9227" max="9227" width="5.6328125" customWidth="1"/>
    <col min="9228" max="9235" width="5.08984375" customWidth="1"/>
    <col min="9236" max="9237" width="8.6328125" customWidth="1"/>
    <col min="9474" max="9474" width="8.08984375" customWidth="1"/>
    <col min="9475" max="9477" width="6.08984375" customWidth="1"/>
    <col min="9478" max="9478" width="3.26953125" customWidth="1"/>
    <col min="9479" max="9479" width="10.08984375" customWidth="1"/>
    <col min="9480" max="9482" width="7.36328125" customWidth="1"/>
    <col min="9483" max="9483" width="5.6328125" customWidth="1"/>
    <col min="9484" max="9491" width="5.08984375" customWidth="1"/>
    <col min="9492" max="9493" width="8.6328125" customWidth="1"/>
    <col min="9730" max="9730" width="8.08984375" customWidth="1"/>
    <col min="9731" max="9733" width="6.08984375" customWidth="1"/>
    <col min="9734" max="9734" width="3.26953125" customWidth="1"/>
    <col min="9735" max="9735" width="10.08984375" customWidth="1"/>
    <col min="9736" max="9738" width="7.36328125" customWidth="1"/>
    <col min="9739" max="9739" width="5.6328125" customWidth="1"/>
    <col min="9740" max="9747" width="5.08984375" customWidth="1"/>
    <col min="9748" max="9749" width="8.6328125" customWidth="1"/>
    <col min="9986" max="9986" width="8.08984375" customWidth="1"/>
    <col min="9987" max="9989" width="6.08984375" customWidth="1"/>
    <col min="9990" max="9990" width="3.26953125" customWidth="1"/>
    <col min="9991" max="9991" width="10.08984375" customWidth="1"/>
    <col min="9992" max="9994" width="7.36328125" customWidth="1"/>
    <col min="9995" max="9995" width="5.6328125" customWidth="1"/>
    <col min="9996" max="10003" width="5.08984375" customWidth="1"/>
    <col min="10004" max="10005" width="8.6328125" customWidth="1"/>
    <col min="10242" max="10242" width="8.08984375" customWidth="1"/>
    <col min="10243" max="10245" width="6.08984375" customWidth="1"/>
    <col min="10246" max="10246" width="3.26953125" customWidth="1"/>
    <col min="10247" max="10247" width="10.08984375" customWidth="1"/>
    <col min="10248" max="10250" width="7.36328125" customWidth="1"/>
    <col min="10251" max="10251" width="5.6328125" customWidth="1"/>
    <col min="10252" max="10259" width="5.08984375" customWidth="1"/>
    <col min="10260" max="10261" width="8.6328125" customWidth="1"/>
    <col min="10498" max="10498" width="8.08984375" customWidth="1"/>
    <col min="10499" max="10501" width="6.08984375" customWidth="1"/>
    <col min="10502" max="10502" width="3.26953125" customWidth="1"/>
    <col min="10503" max="10503" width="10.08984375" customWidth="1"/>
    <col min="10504" max="10506" width="7.36328125" customWidth="1"/>
    <col min="10507" max="10507" width="5.6328125" customWidth="1"/>
    <col min="10508" max="10515" width="5.08984375" customWidth="1"/>
    <col min="10516" max="10517" width="8.6328125" customWidth="1"/>
    <col min="10754" max="10754" width="8.08984375" customWidth="1"/>
    <col min="10755" max="10757" width="6.08984375" customWidth="1"/>
    <col min="10758" max="10758" width="3.26953125" customWidth="1"/>
    <col min="10759" max="10759" width="10.08984375" customWidth="1"/>
    <col min="10760" max="10762" width="7.36328125" customWidth="1"/>
    <col min="10763" max="10763" width="5.6328125" customWidth="1"/>
    <col min="10764" max="10771" width="5.08984375" customWidth="1"/>
    <col min="10772" max="10773" width="8.6328125" customWidth="1"/>
    <col min="11010" max="11010" width="8.08984375" customWidth="1"/>
    <col min="11011" max="11013" width="6.08984375" customWidth="1"/>
    <col min="11014" max="11014" width="3.26953125" customWidth="1"/>
    <col min="11015" max="11015" width="10.08984375" customWidth="1"/>
    <col min="11016" max="11018" width="7.36328125" customWidth="1"/>
    <col min="11019" max="11019" width="5.6328125" customWidth="1"/>
    <col min="11020" max="11027" width="5.08984375" customWidth="1"/>
    <col min="11028" max="11029" width="8.6328125" customWidth="1"/>
    <col min="11266" max="11266" width="8.08984375" customWidth="1"/>
    <col min="11267" max="11269" width="6.08984375" customWidth="1"/>
    <col min="11270" max="11270" width="3.26953125" customWidth="1"/>
    <col min="11271" max="11271" width="10.08984375" customWidth="1"/>
    <col min="11272" max="11274" width="7.36328125" customWidth="1"/>
    <col min="11275" max="11275" width="5.6328125" customWidth="1"/>
    <col min="11276" max="11283" width="5.08984375" customWidth="1"/>
    <col min="11284" max="11285" width="8.6328125" customWidth="1"/>
    <col min="11522" max="11522" width="8.08984375" customWidth="1"/>
    <col min="11523" max="11525" width="6.08984375" customWidth="1"/>
    <col min="11526" max="11526" width="3.26953125" customWidth="1"/>
    <col min="11527" max="11527" width="10.08984375" customWidth="1"/>
    <col min="11528" max="11530" width="7.36328125" customWidth="1"/>
    <col min="11531" max="11531" width="5.6328125" customWidth="1"/>
    <col min="11532" max="11539" width="5.08984375" customWidth="1"/>
    <col min="11540" max="11541" width="8.6328125" customWidth="1"/>
    <col min="11778" max="11778" width="8.08984375" customWidth="1"/>
    <col min="11779" max="11781" width="6.08984375" customWidth="1"/>
    <col min="11782" max="11782" width="3.26953125" customWidth="1"/>
    <col min="11783" max="11783" width="10.08984375" customWidth="1"/>
    <col min="11784" max="11786" width="7.36328125" customWidth="1"/>
    <col min="11787" max="11787" width="5.6328125" customWidth="1"/>
    <col min="11788" max="11795" width="5.08984375" customWidth="1"/>
    <col min="11796" max="11797" width="8.6328125" customWidth="1"/>
    <col min="12034" max="12034" width="8.08984375" customWidth="1"/>
    <col min="12035" max="12037" width="6.08984375" customWidth="1"/>
    <col min="12038" max="12038" width="3.26953125" customWidth="1"/>
    <col min="12039" max="12039" width="10.08984375" customWidth="1"/>
    <col min="12040" max="12042" width="7.36328125" customWidth="1"/>
    <col min="12043" max="12043" width="5.6328125" customWidth="1"/>
    <col min="12044" max="12051" width="5.08984375" customWidth="1"/>
    <col min="12052" max="12053" width="8.6328125" customWidth="1"/>
    <col min="12290" max="12290" width="8.08984375" customWidth="1"/>
    <col min="12291" max="12293" width="6.08984375" customWidth="1"/>
    <col min="12294" max="12294" width="3.26953125" customWidth="1"/>
    <col min="12295" max="12295" width="10.08984375" customWidth="1"/>
    <col min="12296" max="12298" width="7.36328125" customWidth="1"/>
    <col min="12299" max="12299" width="5.6328125" customWidth="1"/>
    <col min="12300" max="12307" width="5.08984375" customWidth="1"/>
    <col min="12308" max="12309" width="8.6328125" customWidth="1"/>
    <col min="12546" max="12546" width="8.08984375" customWidth="1"/>
    <col min="12547" max="12549" width="6.08984375" customWidth="1"/>
    <col min="12550" max="12550" width="3.26953125" customWidth="1"/>
    <col min="12551" max="12551" width="10.08984375" customWidth="1"/>
    <col min="12552" max="12554" width="7.36328125" customWidth="1"/>
    <col min="12555" max="12555" width="5.6328125" customWidth="1"/>
    <col min="12556" max="12563" width="5.08984375" customWidth="1"/>
    <col min="12564" max="12565" width="8.6328125" customWidth="1"/>
    <col min="12802" max="12802" width="8.08984375" customWidth="1"/>
    <col min="12803" max="12805" width="6.08984375" customWidth="1"/>
    <col min="12806" max="12806" width="3.26953125" customWidth="1"/>
    <col min="12807" max="12807" width="10.08984375" customWidth="1"/>
    <col min="12808" max="12810" width="7.36328125" customWidth="1"/>
    <col min="12811" max="12811" width="5.6328125" customWidth="1"/>
    <col min="12812" max="12819" width="5.08984375" customWidth="1"/>
    <col min="12820" max="12821" width="8.6328125" customWidth="1"/>
    <col min="13058" max="13058" width="8.08984375" customWidth="1"/>
    <col min="13059" max="13061" width="6.08984375" customWidth="1"/>
    <col min="13062" max="13062" width="3.26953125" customWidth="1"/>
    <col min="13063" max="13063" width="10.08984375" customWidth="1"/>
    <col min="13064" max="13066" width="7.36328125" customWidth="1"/>
    <col min="13067" max="13067" width="5.6328125" customWidth="1"/>
    <col min="13068" max="13075" width="5.08984375" customWidth="1"/>
    <col min="13076" max="13077" width="8.6328125" customWidth="1"/>
    <col min="13314" max="13314" width="8.08984375" customWidth="1"/>
    <col min="13315" max="13317" width="6.08984375" customWidth="1"/>
    <col min="13318" max="13318" width="3.26953125" customWidth="1"/>
    <col min="13319" max="13319" width="10.08984375" customWidth="1"/>
    <col min="13320" max="13322" width="7.36328125" customWidth="1"/>
    <col min="13323" max="13323" width="5.6328125" customWidth="1"/>
    <col min="13324" max="13331" width="5.08984375" customWidth="1"/>
    <col min="13332" max="13333" width="8.6328125" customWidth="1"/>
    <col min="13570" max="13570" width="8.08984375" customWidth="1"/>
    <col min="13571" max="13573" width="6.08984375" customWidth="1"/>
    <col min="13574" max="13574" width="3.26953125" customWidth="1"/>
    <col min="13575" max="13575" width="10.08984375" customWidth="1"/>
    <col min="13576" max="13578" width="7.36328125" customWidth="1"/>
    <col min="13579" max="13579" width="5.6328125" customWidth="1"/>
    <col min="13580" max="13587" width="5.08984375" customWidth="1"/>
    <col min="13588" max="13589" width="8.6328125" customWidth="1"/>
    <col min="13826" max="13826" width="8.08984375" customWidth="1"/>
    <col min="13827" max="13829" width="6.08984375" customWidth="1"/>
    <col min="13830" max="13830" width="3.26953125" customWidth="1"/>
    <col min="13831" max="13831" width="10.08984375" customWidth="1"/>
    <col min="13832" max="13834" width="7.36328125" customWidth="1"/>
    <col min="13835" max="13835" width="5.6328125" customWidth="1"/>
    <col min="13836" max="13843" width="5.08984375" customWidth="1"/>
    <col min="13844" max="13845" width="8.6328125" customWidth="1"/>
    <col min="14082" max="14082" width="8.08984375" customWidth="1"/>
    <col min="14083" max="14085" width="6.08984375" customWidth="1"/>
    <col min="14086" max="14086" width="3.26953125" customWidth="1"/>
    <col min="14087" max="14087" width="10.08984375" customWidth="1"/>
    <col min="14088" max="14090" width="7.36328125" customWidth="1"/>
    <col min="14091" max="14091" width="5.6328125" customWidth="1"/>
    <col min="14092" max="14099" width="5.08984375" customWidth="1"/>
    <col min="14100" max="14101" width="8.6328125" customWidth="1"/>
    <col min="14338" max="14338" width="8.08984375" customWidth="1"/>
    <col min="14339" max="14341" width="6.08984375" customWidth="1"/>
    <col min="14342" max="14342" width="3.26953125" customWidth="1"/>
    <col min="14343" max="14343" width="10.08984375" customWidth="1"/>
    <col min="14344" max="14346" width="7.36328125" customWidth="1"/>
    <col min="14347" max="14347" width="5.6328125" customWidth="1"/>
    <col min="14348" max="14355" width="5.08984375" customWidth="1"/>
    <col min="14356" max="14357" width="8.6328125" customWidth="1"/>
    <col min="14594" max="14594" width="8.08984375" customWidth="1"/>
    <col min="14595" max="14597" width="6.08984375" customWidth="1"/>
    <col min="14598" max="14598" width="3.26953125" customWidth="1"/>
    <col min="14599" max="14599" width="10.08984375" customWidth="1"/>
    <col min="14600" max="14602" width="7.36328125" customWidth="1"/>
    <col min="14603" max="14603" width="5.6328125" customWidth="1"/>
    <col min="14604" max="14611" width="5.08984375" customWidth="1"/>
    <col min="14612" max="14613" width="8.6328125" customWidth="1"/>
    <col min="14850" max="14850" width="8.08984375" customWidth="1"/>
    <col min="14851" max="14853" width="6.08984375" customWidth="1"/>
    <col min="14854" max="14854" width="3.26953125" customWidth="1"/>
    <col min="14855" max="14855" width="10.08984375" customWidth="1"/>
    <col min="14856" max="14858" width="7.36328125" customWidth="1"/>
    <col min="14859" max="14859" width="5.6328125" customWidth="1"/>
    <col min="14860" max="14867" width="5.08984375" customWidth="1"/>
    <col min="14868" max="14869" width="8.6328125" customWidth="1"/>
    <col min="15106" max="15106" width="8.08984375" customWidth="1"/>
    <col min="15107" max="15109" width="6.08984375" customWidth="1"/>
    <col min="15110" max="15110" width="3.26953125" customWidth="1"/>
    <col min="15111" max="15111" width="10.08984375" customWidth="1"/>
    <col min="15112" max="15114" width="7.36328125" customWidth="1"/>
    <col min="15115" max="15115" width="5.6328125" customWidth="1"/>
    <col min="15116" max="15123" width="5.08984375" customWidth="1"/>
    <col min="15124" max="15125" width="8.6328125" customWidth="1"/>
    <col min="15362" max="15362" width="8.08984375" customWidth="1"/>
    <col min="15363" max="15365" width="6.08984375" customWidth="1"/>
    <col min="15366" max="15366" width="3.26953125" customWidth="1"/>
    <col min="15367" max="15367" width="10.08984375" customWidth="1"/>
    <col min="15368" max="15370" width="7.36328125" customWidth="1"/>
    <col min="15371" max="15371" width="5.6328125" customWidth="1"/>
    <col min="15372" max="15379" width="5.08984375" customWidth="1"/>
    <col min="15380" max="15381" width="8.6328125" customWidth="1"/>
    <col min="15618" max="15618" width="8.08984375" customWidth="1"/>
    <col min="15619" max="15621" width="6.08984375" customWidth="1"/>
    <col min="15622" max="15622" width="3.26953125" customWidth="1"/>
    <col min="15623" max="15623" width="10.08984375" customWidth="1"/>
    <col min="15624" max="15626" width="7.36328125" customWidth="1"/>
    <col min="15627" max="15627" width="5.6328125" customWidth="1"/>
    <col min="15628" max="15635" width="5.08984375" customWidth="1"/>
    <col min="15636" max="15637" width="8.6328125" customWidth="1"/>
    <col min="15874" max="15874" width="8.08984375" customWidth="1"/>
    <col min="15875" max="15877" width="6.08984375" customWidth="1"/>
    <col min="15878" max="15878" width="3.26953125" customWidth="1"/>
    <col min="15879" max="15879" width="10.08984375" customWidth="1"/>
    <col min="15880" max="15882" width="7.36328125" customWidth="1"/>
    <col min="15883" max="15883" width="5.6328125" customWidth="1"/>
    <col min="15884" max="15891" width="5.08984375" customWidth="1"/>
    <col min="15892" max="15893" width="8.6328125" customWidth="1"/>
    <col min="16130" max="16130" width="8.08984375" customWidth="1"/>
    <col min="16131" max="16133" width="6.08984375" customWidth="1"/>
    <col min="16134" max="16134" width="3.26953125" customWidth="1"/>
    <col min="16135" max="16135" width="10.08984375" customWidth="1"/>
    <col min="16136" max="16138" width="7.36328125" customWidth="1"/>
    <col min="16139" max="16139" width="5.6328125" customWidth="1"/>
    <col min="16140" max="16147" width="5.08984375" customWidth="1"/>
    <col min="16148" max="16149" width="8.6328125" customWidth="1"/>
  </cols>
  <sheetData>
    <row r="6" spans="1:21" x14ac:dyDescent="0.2">
      <c r="J6" s="8"/>
    </row>
    <row r="10" spans="1:21" x14ac:dyDescent="0.2">
      <c r="B10" s="429"/>
      <c r="C10" s="430"/>
      <c r="D10" s="431"/>
      <c r="G10" s="432"/>
      <c r="J10" s="431"/>
      <c r="R10" s="431"/>
    </row>
    <row r="11" spans="1:21" x14ac:dyDescent="0.2">
      <c r="B11" s="429"/>
      <c r="C11" s="433"/>
      <c r="D11" s="434"/>
      <c r="F11" s="435"/>
      <c r="G11" s="436" t="s">
        <v>51</v>
      </c>
      <c r="J11" s="434" t="s">
        <v>1221</v>
      </c>
      <c r="P11" s="3" t="s">
        <v>1221</v>
      </c>
      <c r="Q11" s="3"/>
      <c r="R11" s="431"/>
      <c r="U11" s="3" t="s">
        <v>1221</v>
      </c>
    </row>
    <row r="12" spans="1:21" x14ac:dyDescent="0.2">
      <c r="A12" s="3"/>
      <c r="B12" s="429"/>
      <c r="C12" s="430"/>
      <c r="D12" s="431"/>
      <c r="G12" s="432"/>
      <c r="I12" s="3"/>
      <c r="J12" s="431"/>
      <c r="R12" s="431"/>
    </row>
    <row r="13" spans="1:21" ht="13.5" thickBot="1" x14ac:dyDescent="0.25">
      <c r="A13" s="437"/>
      <c r="B13" s="438"/>
      <c r="C13" s="439"/>
      <c r="D13" s="440"/>
      <c r="E13" s="437"/>
      <c r="F13" s="437"/>
      <c r="G13" s="441"/>
      <c r="H13" s="437"/>
      <c r="I13" s="437"/>
      <c r="J13" s="440"/>
      <c r="K13" s="437"/>
      <c r="L13" s="437"/>
      <c r="M13" s="437"/>
      <c r="N13" s="437"/>
      <c r="O13" s="437"/>
      <c r="P13" s="437"/>
      <c r="Q13" s="437"/>
      <c r="R13" s="440"/>
      <c r="S13" s="437"/>
    </row>
    <row r="14" spans="1:21" x14ac:dyDescent="0.2">
      <c r="A14" s="442"/>
      <c r="B14" s="443"/>
      <c r="C14" s="444"/>
      <c r="D14" s="445"/>
      <c r="E14" s="446"/>
      <c r="F14" s="446"/>
      <c r="G14" s="447"/>
      <c r="H14" s="448" t="s">
        <v>1222</v>
      </c>
      <c r="I14" s="446" t="s">
        <v>1223</v>
      </c>
      <c r="J14" s="445"/>
      <c r="K14" s="449"/>
      <c r="L14" s="446"/>
      <c r="M14" s="446"/>
      <c r="N14" s="446"/>
      <c r="O14" s="446"/>
      <c r="P14" s="446"/>
      <c r="Q14" s="446" t="s">
        <v>1223</v>
      </c>
      <c r="R14" s="445">
        <v>0</v>
      </c>
      <c r="S14" s="149"/>
    </row>
    <row r="15" spans="1:21" x14ac:dyDescent="0.2">
      <c r="A15" s="450"/>
      <c r="B15" s="451"/>
      <c r="C15" s="452"/>
      <c r="D15" s="453"/>
      <c r="E15" s="454"/>
      <c r="F15" s="454"/>
      <c r="G15" s="455"/>
      <c r="H15" s="456" t="s">
        <v>1224</v>
      </c>
      <c r="I15" s="457"/>
      <c r="J15" s="458"/>
      <c r="K15" s="457"/>
      <c r="L15" s="457"/>
      <c r="M15" s="457"/>
      <c r="N15" s="457"/>
      <c r="O15" s="457"/>
      <c r="P15" s="457"/>
      <c r="Q15" s="457"/>
      <c r="R15" s="459">
        <v>1</v>
      </c>
      <c r="S15" s="457"/>
    </row>
    <row r="16" spans="1:21" x14ac:dyDescent="0.2">
      <c r="A16" s="457"/>
      <c r="B16" s="460"/>
      <c r="C16" s="461"/>
      <c r="D16" s="458"/>
      <c r="E16" s="457"/>
      <c r="F16" s="457"/>
      <c r="G16" s="462"/>
      <c r="H16" s="456" t="s">
        <v>1225</v>
      </c>
      <c r="I16" s="457"/>
      <c r="J16" s="458"/>
      <c r="K16" s="457"/>
      <c r="L16" s="457"/>
      <c r="M16" s="457"/>
      <c r="N16" s="457"/>
      <c r="O16" s="457"/>
      <c r="P16" s="457"/>
      <c r="Q16" s="457"/>
      <c r="R16" s="459">
        <v>2</v>
      </c>
      <c r="S16" s="457"/>
    </row>
    <row r="17" spans="1:22" x14ac:dyDescent="0.2">
      <c r="A17" s="457"/>
      <c r="B17" s="460"/>
      <c r="C17" s="461"/>
      <c r="D17" s="458"/>
      <c r="E17" s="457"/>
      <c r="F17" s="457"/>
      <c r="G17" s="462"/>
      <c r="H17" s="456" t="s">
        <v>1226</v>
      </c>
      <c r="I17" s="457"/>
      <c r="J17" s="458"/>
      <c r="K17" s="457"/>
      <c r="L17" s="457"/>
      <c r="M17" s="457"/>
      <c r="N17" s="457"/>
      <c r="O17" s="457"/>
      <c r="P17" s="457"/>
      <c r="Q17" s="457"/>
      <c r="R17" s="459">
        <v>3</v>
      </c>
      <c r="S17" s="457"/>
      <c r="T17" s="7"/>
    </row>
    <row r="18" spans="1:22" x14ac:dyDescent="0.2">
      <c r="A18" s="457"/>
      <c r="B18" s="460"/>
      <c r="C18" s="461"/>
      <c r="D18" s="458"/>
      <c r="E18" s="457"/>
      <c r="F18" s="457"/>
      <c r="G18" s="462"/>
      <c r="H18" s="456" t="s">
        <v>1227</v>
      </c>
      <c r="I18" s="457"/>
      <c r="J18" s="458"/>
      <c r="K18" s="457"/>
      <c r="L18" s="457"/>
      <c r="M18" s="457"/>
      <c r="N18" s="457"/>
      <c r="O18" s="457"/>
      <c r="P18" s="457"/>
      <c r="Q18" s="457"/>
      <c r="R18" s="459">
        <v>4</v>
      </c>
      <c r="S18" s="457"/>
    </row>
    <row r="19" spans="1:22" x14ac:dyDescent="0.2">
      <c r="A19" s="457"/>
      <c r="B19" s="460"/>
      <c r="C19" s="461"/>
      <c r="D19" s="458"/>
      <c r="E19" s="457"/>
      <c r="F19" s="457"/>
      <c r="G19" s="462"/>
      <c r="H19" s="456" t="s">
        <v>1228</v>
      </c>
      <c r="I19" s="457"/>
      <c r="J19" s="458"/>
      <c r="K19" s="457"/>
      <c r="L19" s="457"/>
      <c r="M19" s="457"/>
      <c r="N19" s="457"/>
      <c r="O19" s="457"/>
      <c r="P19" s="463"/>
      <c r="Q19" s="457"/>
      <c r="R19" s="459">
        <v>5</v>
      </c>
      <c r="S19" s="464" t="s">
        <v>1229</v>
      </c>
      <c r="T19" s="7"/>
    </row>
    <row r="20" spans="1:22" x14ac:dyDescent="0.2">
      <c r="A20" s="457"/>
      <c r="B20" s="460"/>
      <c r="C20" s="461"/>
      <c r="D20" s="458"/>
      <c r="E20" s="457"/>
      <c r="F20" s="457"/>
      <c r="G20" s="462"/>
      <c r="H20" s="456" t="s">
        <v>1230</v>
      </c>
      <c r="I20" s="457"/>
      <c r="J20" s="458"/>
      <c r="K20" s="457"/>
      <c r="L20" s="457"/>
      <c r="M20" s="457"/>
      <c r="N20" s="457"/>
      <c r="O20" s="457"/>
      <c r="P20" s="457"/>
      <c r="Q20" s="457"/>
      <c r="R20" s="459">
        <v>6</v>
      </c>
      <c r="S20" s="457"/>
    </row>
    <row r="21" spans="1:22" ht="13.5" thickBot="1" x14ac:dyDescent="0.25">
      <c r="A21" s="465"/>
      <c r="B21" s="466"/>
      <c r="C21" s="467"/>
      <c r="D21" s="468"/>
      <c r="E21" s="465"/>
      <c r="F21" s="465"/>
      <c r="G21" s="469"/>
      <c r="H21" s="470"/>
      <c r="I21" s="465"/>
      <c r="J21" s="468"/>
      <c r="K21" s="465"/>
      <c r="L21" s="465"/>
      <c r="M21" s="465"/>
      <c r="N21" s="465"/>
      <c r="O21" s="465"/>
      <c r="P21" s="465"/>
      <c r="Q21" s="465"/>
      <c r="R21" s="471"/>
      <c r="S21" s="465"/>
      <c r="U21" s="3" t="s">
        <v>1231</v>
      </c>
    </row>
    <row r="22" spans="1:22" x14ac:dyDescent="0.2">
      <c r="B22" s="429"/>
      <c r="C22" s="430"/>
      <c r="D22" s="431"/>
      <c r="G22" s="432"/>
      <c r="J22" s="431"/>
      <c r="R22" s="431"/>
    </row>
    <row r="23" spans="1:22" x14ac:dyDescent="0.2">
      <c r="B23" s="429"/>
      <c r="C23" s="430"/>
      <c r="D23" s="431"/>
      <c r="G23" s="432"/>
      <c r="I23" s="3"/>
      <c r="J23" s="431"/>
      <c r="P23" s="3"/>
      <c r="Q23" s="3" t="s">
        <v>1232</v>
      </c>
      <c r="R23" s="431"/>
    </row>
    <row r="24" spans="1:22" x14ac:dyDescent="0.2">
      <c r="B24" s="472" t="s">
        <v>1233</v>
      </c>
      <c r="C24" s="472"/>
      <c r="D24" s="472"/>
      <c r="E24" s="473" t="s">
        <v>1234</v>
      </c>
      <c r="F24" s="472"/>
      <c r="G24" s="473" t="s">
        <v>1235</v>
      </c>
      <c r="J24" s="610" t="s">
        <v>1236</v>
      </c>
      <c r="K24" s="610"/>
      <c r="N24" s="610" t="s">
        <v>1237</v>
      </c>
      <c r="O24" s="610"/>
      <c r="P24" s="610"/>
      <c r="Q24" s="610"/>
      <c r="R24" s="610" t="s">
        <v>1238</v>
      </c>
      <c r="S24" s="610"/>
      <c r="T24" t="s">
        <v>1239</v>
      </c>
      <c r="U24" s="3"/>
    </row>
    <row r="25" spans="1:22" x14ac:dyDescent="0.2">
      <c r="A25" s="610"/>
      <c r="B25" s="610"/>
      <c r="C25" s="8"/>
      <c r="D25" s="610"/>
      <c r="E25" s="610"/>
      <c r="F25" s="610"/>
      <c r="G25" s="610"/>
      <c r="H25" s="610"/>
    </row>
    <row r="26" spans="1:22" x14ac:dyDescent="0.2">
      <c r="A26" s="582"/>
      <c r="B26" s="582"/>
      <c r="C26" s="232"/>
      <c r="V26" t="s">
        <v>1240</v>
      </c>
    </row>
    <row r="27" spans="1:22" x14ac:dyDescent="0.2">
      <c r="J27" s="610"/>
      <c r="K27" s="610"/>
      <c r="L27" s="8"/>
      <c r="M27" s="8"/>
      <c r="N27" s="8"/>
      <c r="O27" s="474" t="s">
        <v>1241</v>
      </c>
      <c r="V27" t="s">
        <v>1239</v>
      </c>
    </row>
    <row r="28" spans="1:22" x14ac:dyDescent="0.2">
      <c r="O28" s="474" t="s">
        <v>1242</v>
      </c>
    </row>
    <row r="29" spans="1:22" ht="16.5" x14ac:dyDescent="0.25">
      <c r="A29" s="9" t="s">
        <v>1243</v>
      </c>
      <c r="J29" s="8"/>
      <c r="O29" s="474" t="s">
        <v>1244</v>
      </c>
    </row>
    <row r="30" spans="1:22" x14ac:dyDescent="0.2">
      <c r="J30" s="8"/>
    </row>
    <row r="31" spans="1:22" x14ac:dyDescent="0.2">
      <c r="A31" s="435" t="s">
        <v>1231</v>
      </c>
      <c r="B31" t="s">
        <v>1245</v>
      </c>
    </row>
    <row r="32" spans="1:22" x14ac:dyDescent="0.2">
      <c r="A32" s="435" t="s">
        <v>1221</v>
      </c>
      <c r="B32" t="s">
        <v>1246</v>
      </c>
    </row>
    <row r="33" spans="1:2" x14ac:dyDescent="0.2">
      <c r="A33" s="475" t="s">
        <v>1247</v>
      </c>
      <c r="B33" s="476" t="s">
        <v>1248</v>
      </c>
    </row>
    <row r="34" spans="1:2" x14ac:dyDescent="0.2">
      <c r="A34" s="435" t="s">
        <v>1229</v>
      </c>
      <c r="B34" t="s">
        <v>1249</v>
      </c>
    </row>
    <row r="35" spans="1:2" x14ac:dyDescent="0.2">
      <c r="A35" s="435"/>
      <c r="B35" t="s">
        <v>1250</v>
      </c>
    </row>
    <row r="36" spans="1:2" x14ac:dyDescent="0.2">
      <c r="A36" s="435"/>
    </row>
    <row r="37" spans="1:2" x14ac:dyDescent="0.2">
      <c r="A37" s="401"/>
    </row>
    <row r="38" spans="1:2" x14ac:dyDescent="0.2">
      <c r="A38" s="401"/>
    </row>
  </sheetData>
  <mergeCells count="8">
    <mergeCell ref="R24:S24"/>
    <mergeCell ref="A25:B25"/>
    <mergeCell ref="D25:H25"/>
    <mergeCell ref="A26:B26"/>
    <mergeCell ref="J27:K27"/>
    <mergeCell ref="J24:K24"/>
    <mergeCell ref="N24:O24"/>
    <mergeCell ref="P24:Q24"/>
  </mergeCells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3131-4C3F-4ECA-A450-3DB2E5C60431}">
  <dimension ref="A6:V40"/>
  <sheetViews>
    <sheetView workbookViewId="0"/>
    <sheetView workbookViewId="1"/>
  </sheetViews>
  <sheetFormatPr defaultRowHeight="13" x14ac:dyDescent="0.2"/>
  <cols>
    <col min="1" max="1" width="5.08984375" customWidth="1"/>
    <col min="2" max="10" width="6.6328125" customWidth="1"/>
    <col min="11" max="11" width="7.36328125" customWidth="1"/>
    <col min="12" max="12" width="5.6328125" customWidth="1"/>
    <col min="13" max="19" width="5.08984375" customWidth="1"/>
    <col min="20" max="21" width="8.6328125" customWidth="1"/>
    <col min="257" max="257" width="5.08984375" customWidth="1"/>
    <col min="258" max="266" width="6.6328125" customWidth="1"/>
    <col min="267" max="267" width="7.36328125" customWidth="1"/>
    <col min="268" max="268" width="5.6328125" customWidth="1"/>
    <col min="269" max="275" width="5.08984375" customWidth="1"/>
    <col min="276" max="277" width="8.6328125" customWidth="1"/>
    <col min="513" max="513" width="5.08984375" customWidth="1"/>
    <col min="514" max="522" width="6.6328125" customWidth="1"/>
    <col min="523" max="523" width="7.36328125" customWidth="1"/>
    <col min="524" max="524" width="5.6328125" customWidth="1"/>
    <col min="525" max="531" width="5.08984375" customWidth="1"/>
    <col min="532" max="533" width="8.6328125" customWidth="1"/>
    <col min="769" max="769" width="5.08984375" customWidth="1"/>
    <col min="770" max="778" width="6.6328125" customWidth="1"/>
    <col min="779" max="779" width="7.36328125" customWidth="1"/>
    <col min="780" max="780" width="5.6328125" customWidth="1"/>
    <col min="781" max="787" width="5.08984375" customWidth="1"/>
    <col min="788" max="789" width="8.6328125" customWidth="1"/>
    <col min="1025" max="1025" width="5.08984375" customWidth="1"/>
    <col min="1026" max="1034" width="6.6328125" customWidth="1"/>
    <col min="1035" max="1035" width="7.36328125" customWidth="1"/>
    <col min="1036" max="1036" width="5.6328125" customWidth="1"/>
    <col min="1037" max="1043" width="5.08984375" customWidth="1"/>
    <col min="1044" max="1045" width="8.6328125" customWidth="1"/>
    <col min="1281" max="1281" width="5.08984375" customWidth="1"/>
    <col min="1282" max="1290" width="6.6328125" customWidth="1"/>
    <col min="1291" max="1291" width="7.36328125" customWidth="1"/>
    <col min="1292" max="1292" width="5.6328125" customWidth="1"/>
    <col min="1293" max="1299" width="5.08984375" customWidth="1"/>
    <col min="1300" max="1301" width="8.6328125" customWidth="1"/>
    <col min="1537" max="1537" width="5.08984375" customWidth="1"/>
    <col min="1538" max="1546" width="6.6328125" customWidth="1"/>
    <col min="1547" max="1547" width="7.36328125" customWidth="1"/>
    <col min="1548" max="1548" width="5.6328125" customWidth="1"/>
    <col min="1549" max="1555" width="5.08984375" customWidth="1"/>
    <col min="1556" max="1557" width="8.6328125" customWidth="1"/>
    <col min="1793" max="1793" width="5.08984375" customWidth="1"/>
    <col min="1794" max="1802" width="6.6328125" customWidth="1"/>
    <col min="1803" max="1803" width="7.36328125" customWidth="1"/>
    <col min="1804" max="1804" width="5.6328125" customWidth="1"/>
    <col min="1805" max="1811" width="5.08984375" customWidth="1"/>
    <col min="1812" max="1813" width="8.6328125" customWidth="1"/>
    <col min="2049" max="2049" width="5.08984375" customWidth="1"/>
    <col min="2050" max="2058" width="6.6328125" customWidth="1"/>
    <col min="2059" max="2059" width="7.36328125" customWidth="1"/>
    <col min="2060" max="2060" width="5.6328125" customWidth="1"/>
    <col min="2061" max="2067" width="5.08984375" customWidth="1"/>
    <col min="2068" max="2069" width="8.6328125" customWidth="1"/>
    <col min="2305" max="2305" width="5.08984375" customWidth="1"/>
    <col min="2306" max="2314" width="6.6328125" customWidth="1"/>
    <col min="2315" max="2315" width="7.36328125" customWidth="1"/>
    <col min="2316" max="2316" width="5.6328125" customWidth="1"/>
    <col min="2317" max="2323" width="5.08984375" customWidth="1"/>
    <col min="2324" max="2325" width="8.6328125" customWidth="1"/>
    <col min="2561" max="2561" width="5.08984375" customWidth="1"/>
    <col min="2562" max="2570" width="6.6328125" customWidth="1"/>
    <col min="2571" max="2571" width="7.36328125" customWidth="1"/>
    <col min="2572" max="2572" width="5.6328125" customWidth="1"/>
    <col min="2573" max="2579" width="5.08984375" customWidth="1"/>
    <col min="2580" max="2581" width="8.6328125" customWidth="1"/>
    <col min="2817" max="2817" width="5.08984375" customWidth="1"/>
    <col min="2818" max="2826" width="6.6328125" customWidth="1"/>
    <col min="2827" max="2827" width="7.36328125" customWidth="1"/>
    <col min="2828" max="2828" width="5.6328125" customWidth="1"/>
    <col min="2829" max="2835" width="5.08984375" customWidth="1"/>
    <col min="2836" max="2837" width="8.6328125" customWidth="1"/>
    <col min="3073" max="3073" width="5.08984375" customWidth="1"/>
    <col min="3074" max="3082" width="6.6328125" customWidth="1"/>
    <col min="3083" max="3083" width="7.36328125" customWidth="1"/>
    <col min="3084" max="3084" width="5.6328125" customWidth="1"/>
    <col min="3085" max="3091" width="5.08984375" customWidth="1"/>
    <col min="3092" max="3093" width="8.6328125" customWidth="1"/>
    <col min="3329" max="3329" width="5.08984375" customWidth="1"/>
    <col min="3330" max="3338" width="6.6328125" customWidth="1"/>
    <col min="3339" max="3339" width="7.36328125" customWidth="1"/>
    <col min="3340" max="3340" width="5.6328125" customWidth="1"/>
    <col min="3341" max="3347" width="5.08984375" customWidth="1"/>
    <col min="3348" max="3349" width="8.6328125" customWidth="1"/>
    <col min="3585" max="3585" width="5.08984375" customWidth="1"/>
    <col min="3586" max="3594" width="6.6328125" customWidth="1"/>
    <col min="3595" max="3595" width="7.36328125" customWidth="1"/>
    <col min="3596" max="3596" width="5.6328125" customWidth="1"/>
    <col min="3597" max="3603" width="5.08984375" customWidth="1"/>
    <col min="3604" max="3605" width="8.6328125" customWidth="1"/>
    <col min="3841" max="3841" width="5.08984375" customWidth="1"/>
    <col min="3842" max="3850" width="6.6328125" customWidth="1"/>
    <col min="3851" max="3851" width="7.36328125" customWidth="1"/>
    <col min="3852" max="3852" width="5.6328125" customWidth="1"/>
    <col min="3853" max="3859" width="5.08984375" customWidth="1"/>
    <col min="3860" max="3861" width="8.6328125" customWidth="1"/>
    <col min="4097" max="4097" width="5.08984375" customWidth="1"/>
    <col min="4098" max="4106" width="6.6328125" customWidth="1"/>
    <col min="4107" max="4107" width="7.36328125" customWidth="1"/>
    <col min="4108" max="4108" width="5.6328125" customWidth="1"/>
    <col min="4109" max="4115" width="5.08984375" customWidth="1"/>
    <col min="4116" max="4117" width="8.6328125" customWidth="1"/>
    <col min="4353" max="4353" width="5.08984375" customWidth="1"/>
    <col min="4354" max="4362" width="6.6328125" customWidth="1"/>
    <col min="4363" max="4363" width="7.36328125" customWidth="1"/>
    <col min="4364" max="4364" width="5.6328125" customWidth="1"/>
    <col min="4365" max="4371" width="5.08984375" customWidth="1"/>
    <col min="4372" max="4373" width="8.6328125" customWidth="1"/>
    <col min="4609" max="4609" width="5.08984375" customWidth="1"/>
    <col min="4610" max="4618" width="6.6328125" customWidth="1"/>
    <col min="4619" max="4619" width="7.36328125" customWidth="1"/>
    <col min="4620" max="4620" width="5.6328125" customWidth="1"/>
    <col min="4621" max="4627" width="5.08984375" customWidth="1"/>
    <col min="4628" max="4629" width="8.6328125" customWidth="1"/>
    <col min="4865" max="4865" width="5.08984375" customWidth="1"/>
    <col min="4866" max="4874" width="6.6328125" customWidth="1"/>
    <col min="4875" max="4875" width="7.36328125" customWidth="1"/>
    <col min="4876" max="4876" width="5.6328125" customWidth="1"/>
    <col min="4877" max="4883" width="5.08984375" customWidth="1"/>
    <col min="4884" max="4885" width="8.6328125" customWidth="1"/>
    <col min="5121" max="5121" width="5.08984375" customWidth="1"/>
    <col min="5122" max="5130" width="6.6328125" customWidth="1"/>
    <col min="5131" max="5131" width="7.36328125" customWidth="1"/>
    <col min="5132" max="5132" width="5.6328125" customWidth="1"/>
    <col min="5133" max="5139" width="5.08984375" customWidth="1"/>
    <col min="5140" max="5141" width="8.6328125" customWidth="1"/>
    <col min="5377" max="5377" width="5.08984375" customWidth="1"/>
    <col min="5378" max="5386" width="6.6328125" customWidth="1"/>
    <col min="5387" max="5387" width="7.36328125" customWidth="1"/>
    <col min="5388" max="5388" width="5.6328125" customWidth="1"/>
    <col min="5389" max="5395" width="5.08984375" customWidth="1"/>
    <col min="5396" max="5397" width="8.6328125" customWidth="1"/>
    <col min="5633" max="5633" width="5.08984375" customWidth="1"/>
    <col min="5634" max="5642" width="6.6328125" customWidth="1"/>
    <col min="5643" max="5643" width="7.36328125" customWidth="1"/>
    <col min="5644" max="5644" width="5.6328125" customWidth="1"/>
    <col min="5645" max="5651" width="5.08984375" customWidth="1"/>
    <col min="5652" max="5653" width="8.6328125" customWidth="1"/>
    <col min="5889" max="5889" width="5.08984375" customWidth="1"/>
    <col min="5890" max="5898" width="6.6328125" customWidth="1"/>
    <col min="5899" max="5899" width="7.36328125" customWidth="1"/>
    <col min="5900" max="5900" width="5.6328125" customWidth="1"/>
    <col min="5901" max="5907" width="5.08984375" customWidth="1"/>
    <col min="5908" max="5909" width="8.6328125" customWidth="1"/>
    <col min="6145" max="6145" width="5.08984375" customWidth="1"/>
    <col min="6146" max="6154" width="6.6328125" customWidth="1"/>
    <col min="6155" max="6155" width="7.36328125" customWidth="1"/>
    <col min="6156" max="6156" width="5.6328125" customWidth="1"/>
    <col min="6157" max="6163" width="5.08984375" customWidth="1"/>
    <col min="6164" max="6165" width="8.6328125" customWidth="1"/>
    <col min="6401" max="6401" width="5.08984375" customWidth="1"/>
    <col min="6402" max="6410" width="6.6328125" customWidth="1"/>
    <col min="6411" max="6411" width="7.36328125" customWidth="1"/>
    <col min="6412" max="6412" width="5.6328125" customWidth="1"/>
    <col min="6413" max="6419" width="5.08984375" customWidth="1"/>
    <col min="6420" max="6421" width="8.6328125" customWidth="1"/>
    <col min="6657" max="6657" width="5.08984375" customWidth="1"/>
    <col min="6658" max="6666" width="6.6328125" customWidth="1"/>
    <col min="6667" max="6667" width="7.36328125" customWidth="1"/>
    <col min="6668" max="6668" width="5.6328125" customWidth="1"/>
    <col min="6669" max="6675" width="5.08984375" customWidth="1"/>
    <col min="6676" max="6677" width="8.6328125" customWidth="1"/>
    <col min="6913" max="6913" width="5.08984375" customWidth="1"/>
    <col min="6914" max="6922" width="6.6328125" customWidth="1"/>
    <col min="6923" max="6923" width="7.36328125" customWidth="1"/>
    <col min="6924" max="6924" width="5.6328125" customWidth="1"/>
    <col min="6925" max="6931" width="5.08984375" customWidth="1"/>
    <col min="6932" max="6933" width="8.6328125" customWidth="1"/>
    <col min="7169" max="7169" width="5.08984375" customWidth="1"/>
    <col min="7170" max="7178" width="6.6328125" customWidth="1"/>
    <col min="7179" max="7179" width="7.36328125" customWidth="1"/>
    <col min="7180" max="7180" width="5.6328125" customWidth="1"/>
    <col min="7181" max="7187" width="5.08984375" customWidth="1"/>
    <col min="7188" max="7189" width="8.6328125" customWidth="1"/>
    <col min="7425" max="7425" width="5.08984375" customWidth="1"/>
    <col min="7426" max="7434" width="6.6328125" customWidth="1"/>
    <col min="7435" max="7435" width="7.36328125" customWidth="1"/>
    <col min="7436" max="7436" width="5.6328125" customWidth="1"/>
    <col min="7437" max="7443" width="5.08984375" customWidth="1"/>
    <col min="7444" max="7445" width="8.6328125" customWidth="1"/>
    <col min="7681" max="7681" width="5.08984375" customWidth="1"/>
    <col min="7682" max="7690" width="6.6328125" customWidth="1"/>
    <col min="7691" max="7691" width="7.36328125" customWidth="1"/>
    <col min="7692" max="7692" width="5.6328125" customWidth="1"/>
    <col min="7693" max="7699" width="5.08984375" customWidth="1"/>
    <col min="7700" max="7701" width="8.6328125" customWidth="1"/>
    <col min="7937" max="7937" width="5.08984375" customWidth="1"/>
    <col min="7938" max="7946" width="6.6328125" customWidth="1"/>
    <col min="7947" max="7947" width="7.36328125" customWidth="1"/>
    <col min="7948" max="7948" width="5.6328125" customWidth="1"/>
    <col min="7949" max="7955" width="5.08984375" customWidth="1"/>
    <col min="7956" max="7957" width="8.6328125" customWidth="1"/>
    <col min="8193" max="8193" width="5.08984375" customWidth="1"/>
    <col min="8194" max="8202" width="6.6328125" customWidth="1"/>
    <col min="8203" max="8203" width="7.36328125" customWidth="1"/>
    <col min="8204" max="8204" width="5.6328125" customWidth="1"/>
    <col min="8205" max="8211" width="5.08984375" customWidth="1"/>
    <col min="8212" max="8213" width="8.6328125" customWidth="1"/>
    <col min="8449" max="8449" width="5.08984375" customWidth="1"/>
    <col min="8450" max="8458" width="6.6328125" customWidth="1"/>
    <col min="8459" max="8459" width="7.36328125" customWidth="1"/>
    <col min="8460" max="8460" width="5.6328125" customWidth="1"/>
    <col min="8461" max="8467" width="5.08984375" customWidth="1"/>
    <col min="8468" max="8469" width="8.6328125" customWidth="1"/>
    <col min="8705" max="8705" width="5.08984375" customWidth="1"/>
    <col min="8706" max="8714" width="6.6328125" customWidth="1"/>
    <col min="8715" max="8715" width="7.36328125" customWidth="1"/>
    <col min="8716" max="8716" width="5.6328125" customWidth="1"/>
    <col min="8717" max="8723" width="5.08984375" customWidth="1"/>
    <col min="8724" max="8725" width="8.6328125" customWidth="1"/>
    <col min="8961" max="8961" width="5.08984375" customWidth="1"/>
    <col min="8962" max="8970" width="6.6328125" customWidth="1"/>
    <col min="8971" max="8971" width="7.36328125" customWidth="1"/>
    <col min="8972" max="8972" width="5.6328125" customWidth="1"/>
    <col min="8973" max="8979" width="5.08984375" customWidth="1"/>
    <col min="8980" max="8981" width="8.6328125" customWidth="1"/>
    <col min="9217" max="9217" width="5.08984375" customWidth="1"/>
    <col min="9218" max="9226" width="6.6328125" customWidth="1"/>
    <col min="9227" max="9227" width="7.36328125" customWidth="1"/>
    <col min="9228" max="9228" width="5.6328125" customWidth="1"/>
    <col min="9229" max="9235" width="5.08984375" customWidth="1"/>
    <col min="9236" max="9237" width="8.6328125" customWidth="1"/>
    <col min="9473" max="9473" width="5.08984375" customWidth="1"/>
    <col min="9474" max="9482" width="6.6328125" customWidth="1"/>
    <col min="9483" max="9483" width="7.36328125" customWidth="1"/>
    <col min="9484" max="9484" width="5.6328125" customWidth="1"/>
    <col min="9485" max="9491" width="5.08984375" customWidth="1"/>
    <col min="9492" max="9493" width="8.6328125" customWidth="1"/>
    <col min="9729" max="9729" width="5.08984375" customWidth="1"/>
    <col min="9730" max="9738" width="6.6328125" customWidth="1"/>
    <col min="9739" max="9739" width="7.36328125" customWidth="1"/>
    <col min="9740" max="9740" width="5.6328125" customWidth="1"/>
    <col min="9741" max="9747" width="5.08984375" customWidth="1"/>
    <col min="9748" max="9749" width="8.6328125" customWidth="1"/>
    <col min="9985" max="9985" width="5.08984375" customWidth="1"/>
    <col min="9986" max="9994" width="6.6328125" customWidth="1"/>
    <col min="9995" max="9995" width="7.36328125" customWidth="1"/>
    <col min="9996" max="9996" width="5.6328125" customWidth="1"/>
    <col min="9997" max="10003" width="5.08984375" customWidth="1"/>
    <col min="10004" max="10005" width="8.6328125" customWidth="1"/>
    <col min="10241" max="10241" width="5.08984375" customWidth="1"/>
    <col min="10242" max="10250" width="6.6328125" customWidth="1"/>
    <col min="10251" max="10251" width="7.36328125" customWidth="1"/>
    <col min="10252" max="10252" width="5.6328125" customWidth="1"/>
    <col min="10253" max="10259" width="5.08984375" customWidth="1"/>
    <col min="10260" max="10261" width="8.6328125" customWidth="1"/>
    <col min="10497" max="10497" width="5.08984375" customWidth="1"/>
    <col min="10498" max="10506" width="6.6328125" customWidth="1"/>
    <col min="10507" max="10507" width="7.36328125" customWidth="1"/>
    <col min="10508" max="10508" width="5.6328125" customWidth="1"/>
    <col min="10509" max="10515" width="5.08984375" customWidth="1"/>
    <col min="10516" max="10517" width="8.6328125" customWidth="1"/>
    <col min="10753" max="10753" width="5.08984375" customWidth="1"/>
    <col min="10754" max="10762" width="6.6328125" customWidth="1"/>
    <col min="10763" max="10763" width="7.36328125" customWidth="1"/>
    <col min="10764" max="10764" width="5.6328125" customWidth="1"/>
    <col min="10765" max="10771" width="5.08984375" customWidth="1"/>
    <col min="10772" max="10773" width="8.6328125" customWidth="1"/>
    <col min="11009" max="11009" width="5.08984375" customWidth="1"/>
    <col min="11010" max="11018" width="6.6328125" customWidth="1"/>
    <col min="11019" max="11019" width="7.36328125" customWidth="1"/>
    <col min="11020" max="11020" width="5.6328125" customWidth="1"/>
    <col min="11021" max="11027" width="5.08984375" customWidth="1"/>
    <col min="11028" max="11029" width="8.6328125" customWidth="1"/>
    <col min="11265" max="11265" width="5.08984375" customWidth="1"/>
    <col min="11266" max="11274" width="6.6328125" customWidth="1"/>
    <col min="11275" max="11275" width="7.36328125" customWidth="1"/>
    <col min="11276" max="11276" width="5.6328125" customWidth="1"/>
    <col min="11277" max="11283" width="5.08984375" customWidth="1"/>
    <col min="11284" max="11285" width="8.6328125" customWidth="1"/>
    <col min="11521" max="11521" width="5.08984375" customWidth="1"/>
    <col min="11522" max="11530" width="6.6328125" customWidth="1"/>
    <col min="11531" max="11531" width="7.36328125" customWidth="1"/>
    <col min="11532" max="11532" width="5.6328125" customWidth="1"/>
    <col min="11533" max="11539" width="5.08984375" customWidth="1"/>
    <col min="11540" max="11541" width="8.6328125" customWidth="1"/>
    <col min="11777" max="11777" width="5.08984375" customWidth="1"/>
    <col min="11778" max="11786" width="6.6328125" customWidth="1"/>
    <col min="11787" max="11787" width="7.36328125" customWidth="1"/>
    <col min="11788" max="11788" width="5.6328125" customWidth="1"/>
    <col min="11789" max="11795" width="5.08984375" customWidth="1"/>
    <col min="11796" max="11797" width="8.6328125" customWidth="1"/>
    <col min="12033" max="12033" width="5.08984375" customWidth="1"/>
    <col min="12034" max="12042" width="6.6328125" customWidth="1"/>
    <col min="12043" max="12043" width="7.36328125" customWidth="1"/>
    <col min="12044" max="12044" width="5.6328125" customWidth="1"/>
    <col min="12045" max="12051" width="5.08984375" customWidth="1"/>
    <col min="12052" max="12053" width="8.6328125" customWidth="1"/>
    <col min="12289" max="12289" width="5.08984375" customWidth="1"/>
    <col min="12290" max="12298" width="6.6328125" customWidth="1"/>
    <col min="12299" max="12299" width="7.36328125" customWidth="1"/>
    <col min="12300" max="12300" width="5.6328125" customWidth="1"/>
    <col min="12301" max="12307" width="5.08984375" customWidth="1"/>
    <col min="12308" max="12309" width="8.6328125" customWidth="1"/>
    <col min="12545" max="12545" width="5.08984375" customWidth="1"/>
    <col min="12546" max="12554" width="6.6328125" customWidth="1"/>
    <col min="12555" max="12555" width="7.36328125" customWidth="1"/>
    <col min="12556" max="12556" width="5.6328125" customWidth="1"/>
    <col min="12557" max="12563" width="5.08984375" customWidth="1"/>
    <col min="12564" max="12565" width="8.6328125" customWidth="1"/>
    <col min="12801" max="12801" width="5.08984375" customWidth="1"/>
    <col min="12802" max="12810" width="6.6328125" customWidth="1"/>
    <col min="12811" max="12811" width="7.36328125" customWidth="1"/>
    <col min="12812" max="12812" width="5.6328125" customWidth="1"/>
    <col min="12813" max="12819" width="5.08984375" customWidth="1"/>
    <col min="12820" max="12821" width="8.6328125" customWidth="1"/>
    <col min="13057" max="13057" width="5.08984375" customWidth="1"/>
    <col min="13058" max="13066" width="6.6328125" customWidth="1"/>
    <col min="13067" max="13067" width="7.36328125" customWidth="1"/>
    <col min="13068" max="13068" width="5.6328125" customWidth="1"/>
    <col min="13069" max="13075" width="5.08984375" customWidth="1"/>
    <col min="13076" max="13077" width="8.6328125" customWidth="1"/>
    <col min="13313" max="13313" width="5.08984375" customWidth="1"/>
    <col min="13314" max="13322" width="6.6328125" customWidth="1"/>
    <col min="13323" max="13323" width="7.36328125" customWidth="1"/>
    <col min="13324" max="13324" width="5.6328125" customWidth="1"/>
    <col min="13325" max="13331" width="5.08984375" customWidth="1"/>
    <col min="13332" max="13333" width="8.6328125" customWidth="1"/>
    <col min="13569" max="13569" width="5.08984375" customWidth="1"/>
    <col min="13570" max="13578" width="6.6328125" customWidth="1"/>
    <col min="13579" max="13579" width="7.36328125" customWidth="1"/>
    <col min="13580" max="13580" width="5.6328125" customWidth="1"/>
    <col min="13581" max="13587" width="5.08984375" customWidth="1"/>
    <col min="13588" max="13589" width="8.6328125" customWidth="1"/>
    <col min="13825" max="13825" width="5.08984375" customWidth="1"/>
    <col min="13826" max="13834" width="6.6328125" customWidth="1"/>
    <col min="13835" max="13835" width="7.36328125" customWidth="1"/>
    <col min="13836" max="13836" width="5.6328125" customWidth="1"/>
    <col min="13837" max="13843" width="5.08984375" customWidth="1"/>
    <col min="13844" max="13845" width="8.6328125" customWidth="1"/>
    <col min="14081" max="14081" width="5.08984375" customWidth="1"/>
    <col min="14082" max="14090" width="6.6328125" customWidth="1"/>
    <col min="14091" max="14091" width="7.36328125" customWidth="1"/>
    <col min="14092" max="14092" width="5.6328125" customWidth="1"/>
    <col min="14093" max="14099" width="5.08984375" customWidth="1"/>
    <col min="14100" max="14101" width="8.6328125" customWidth="1"/>
    <col min="14337" max="14337" width="5.08984375" customWidth="1"/>
    <col min="14338" max="14346" width="6.6328125" customWidth="1"/>
    <col min="14347" max="14347" width="7.36328125" customWidth="1"/>
    <col min="14348" max="14348" width="5.6328125" customWidth="1"/>
    <col min="14349" max="14355" width="5.08984375" customWidth="1"/>
    <col min="14356" max="14357" width="8.6328125" customWidth="1"/>
    <col min="14593" max="14593" width="5.08984375" customWidth="1"/>
    <col min="14594" max="14602" width="6.6328125" customWidth="1"/>
    <col min="14603" max="14603" width="7.36328125" customWidth="1"/>
    <col min="14604" max="14604" width="5.6328125" customWidth="1"/>
    <col min="14605" max="14611" width="5.08984375" customWidth="1"/>
    <col min="14612" max="14613" width="8.6328125" customWidth="1"/>
    <col min="14849" max="14849" width="5.08984375" customWidth="1"/>
    <col min="14850" max="14858" width="6.6328125" customWidth="1"/>
    <col min="14859" max="14859" width="7.36328125" customWidth="1"/>
    <col min="14860" max="14860" width="5.6328125" customWidth="1"/>
    <col min="14861" max="14867" width="5.08984375" customWidth="1"/>
    <col min="14868" max="14869" width="8.6328125" customWidth="1"/>
    <col min="15105" max="15105" width="5.08984375" customWidth="1"/>
    <col min="15106" max="15114" width="6.6328125" customWidth="1"/>
    <col min="15115" max="15115" width="7.36328125" customWidth="1"/>
    <col min="15116" max="15116" width="5.6328125" customWidth="1"/>
    <col min="15117" max="15123" width="5.08984375" customWidth="1"/>
    <col min="15124" max="15125" width="8.6328125" customWidth="1"/>
    <col min="15361" max="15361" width="5.08984375" customWidth="1"/>
    <col min="15362" max="15370" width="6.6328125" customWidth="1"/>
    <col min="15371" max="15371" width="7.36328125" customWidth="1"/>
    <col min="15372" max="15372" width="5.6328125" customWidth="1"/>
    <col min="15373" max="15379" width="5.08984375" customWidth="1"/>
    <col min="15380" max="15381" width="8.6328125" customWidth="1"/>
    <col min="15617" max="15617" width="5.08984375" customWidth="1"/>
    <col min="15618" max="15626" width="6.6328125" customWidth="1"/>
    <col min="15627" max="15627" width="7.36328125" customWidth="1"/>
    <col min="15628" max="15628" width="5.6328125" customWidth="1"/>
    <col min="15629" max="15635" width="5.08984375" customWidth="1"/>
    <col min="15636" max="15637" width="8.6328125" customWidth="1"/>
    <col min="15873" max="15873" width="5.08984375" customWidth="1"/>
    <col min="15874" max="15882" width="6.6328125" customWidth="1"/>
    <col min="15883" max="15883" width="7.36328125" customWidth="1"/>
    <col min="15884" max="15884" width="5.6328125" customWidth="1"/>
    <col min="15885" max="15891" width="5.08984375" customWidth="1"/>
    <col min="15892" max="15893" width="8.6328125" customWidth="1"/>
    <col min="16129" max="16129" width="5.08984375" customWidth="1"/>
    <col min="16130" max="16138" width="6.6328125" customWidth="1"/>
    <col min="16139" max="16139" width="7.36328125" customWidth="1"/>
    <col min="16140" max="16140" width="5.6328125" customWidth="1"/>
    <col min="16141" max="16147" width="5.08984375" customWidth="1"/>
    <col min="16148" max="16149" width="8.6328125" customWidth="1"/>
  </cols>
  <sheetData>
    <row r="6" spans="1:21" ht="13.5" thickBot="1" x14ac:dyDescent="0.25"/>
    <row r="7" spans="1:21" x14ac:dyDescent="0.2">
      <c r="A7" s="477"/>
      <c r="B7" s="478"/>
      <c r="C7" s="479"/>
      <c r="D7" s="479"/>
      <c r="E7" s="479"/>
      <c r="F7" s="479"/>
      <c r="G7" s="479"/>
      <c r="H7" s="479"/>
      <c r="I7" s="479"/>
      <c r="J7" s="480"/>
      <c r="L7" s="481" t="s">
        <v>1251</v>
      </c>
    </row>
    <row r="8" spans="1:21" ht="16.5" x14ac:dyDescent="0.25">
      <c r="A8" s="477"/>
      <c r="B8" s="482"/>
      <c r="C8" s="483"/>
      <c r="D8" s="483"/>
      <c r="E8" s="613" t="s">
        <v>1252</v>
      </c>
      <c r="F8" s="613"/>
      <c r="G8" s="613"/>
      <c r="H8" s="483"/>
      <c r="I8" s="484"/>
      <c r="J8" s="485"/>
      <c r="L8" s="486"/>
      <c r="M8" s="486"/>
      <c r="N8" s="487" t="s">
        <v>1253</v>
      </c>
      <c r="O8" s="486"/>
      <c r="P8" s="486"/>
      <c r="Q8" s="486"/>
      <c r="S8" s="481" t="s">
        <v>1254</v>
      </c>
    </row>
    <row r="9" spans="1:21" x14ac:dyDescent="0.2">
      <c r="A9" s="477"/>
      <c r="B9" s="482"/>
      <c r="C9" s="483"/>
      <c r="E9" s="483"/>
      <c r="F9" s="483"/>
      <c r="G9" s="483"/>
      <c r="I9" s="484"/>
      <c r="J9" s="485"/>
      <c r="L9" s="486"/>
      <c r="M9" s="488" t="s">
        <v>1255</v>
      </c>
      <c r="N9" s="486"/>
      <c r="O9" s="486"/>
      <c r="P9" s="488" t="s">
        <v>1255</v>
      </c>
      <c r="Q9" s="486"/>
    </row>
    <row r="10" spans="1:21" x14ac:dyDescent="0.2">
      <c r="A10" s="477"/>
      <c r="B10" s="482"/>
      <c r="C10" s="483"/>
      <c r="E10" s="483"/>
      <c r="F10" s="483"/>
      <c r="G10" s="483"/>
      <c r="I10" s="484"/>
      <c r="J10" s="429"/>
      <c r="L10" s="486"/>
      <c r="M10" s="488" t="s">
        <v>1255</v>
      </c>
      <c r="N10" s="486"/>
      <c r="O10" s="486"/>
      <c r="P10" s="488" t="s">
        <v>1255</v>
      </c>
      <c r="Q10" s="486"/>
    </row>
    <row r="11" spans="1:21" x14ac:dyDescent="0.2">
      <c r="A11" s="429"/>
      <c r="B11" s="489"/>
      <c r="C11" s="490"/>
      <c r="D11" s="491"/>
      <c r="E11" s="483"/>
      <c r="F11" s="483"/>
      <c r="G11" s="483"/>
      <c r="H11" s="491"/>
      <c r="I11" s="483"/>
      <c r="J11" s="492"/>
      <c r="K11" s="491"/>
      <c r="L11" s="493"/>
      <c r="M11" s="488" t="s">
        <v>1255</v>
      </c>
      <c r="N11" s="494"/>
      <c r="O11" s="494"/>
      <c r="P11" s="488" t="s">
        <v>1255</v>
      </c>
      <c r="Q11" s="494"/>
      <c r="R11" s="491"/>
      <c r="S11" s="495" t="s">
        <v>1256</v>
      </c>
    </row>
    <row r="12" spans="1:21" x14ac:dyDescent="0.2">
      <c r="B12" s="496"/>
      <c r="C12" s="429"/>
      <c r="D12" s="430"/>
      <c r="E12" s="497"/>
      <c r="F12" s="498"/>
      <c r="G12" s="497" t="s">
        <v>1257</v>
      </c>
      <c r="H12" s="497"/>
      <c r="I12" s="497"/>
      <c r="J12" s="497"/>
      <c r="K12" s="498"/>
      <c r="L12" s="499"/>
      <c r="M12" s="497"/>
      <c r="N12" s="497"/>
      <c r="O12" s="497"/>
      <c r="P12" s="497"/>
      <c r="Q12" s="497"/>
      <c r="R12" s="498"/>
      <c r="S12" s="499" t="s">
        <v>1258</v>
      </c>
    </row>
    <row r="13" spans="1:21" x14ac:dyDescent="0.2">
      <c r="B13" s="496"/>
      <c r="C13" s="429"/>
      <c r="D13" s="430"/>
      <c r="E13" s="3"/>
      <c r="F13" s="500" t="s">
        <v>1229</v>
      </c>
      <c r="G13" s="501" t="s">
        <v>1259</v>
      </c>
      <c r="H13" s="435"/>
      <c r="K13" s="434" t="s">
        <v>1247</v>
      </c>
      <c r="L13" s="1"/>
      <c r="P13" s="3" t="s">
        <v>1221</v>
      </c>
      <c r="Q13" s="3"/>
      <c r="R13" s="431"/>
      <c r="S13" s="1" t="s">
        <v>1260</v>
      </c>
      <c r="U13" s="3" t="s">
        <v>1221</v>
      </c>
    </row>
    <row r="14" spans="1:21" x14ac:dyDescent="0.2">
      <c r="B14" s="496"/>
      <c r="C14" s="429"/>
      <c r="D14" s="3" t="s">
        <v>1261</v>
      </c>
      <c r="F14" s="431"/>
      <c r="G14" t="s">
        <v>1262</v>
      </c>
      <c r="I14" s="3"/>
      <c r="K14" s="431"/>
      <c r="L14" s="1"/>
      <c r="R14" s="431"/>
      <c r="S14" s="1" t="s">
        <v>1263</v>
      </c>
    </row>
    <row r="15" spans="1:21" ht="13.5" thickBot="1" x14ac:dyDescent="0.25">
      <c r="B15" s="496"/>
      <c r="C15" s="438"/>
      <c r="D15" s="502" t="s">
        <v>1264</v>
      </c>
      <c r="E15" s="437"/>
      <c r="F15" s="440"/>
      <c r="G15" s="437"/>
      <c r="H15" s="437"/>
      <c r="I15" s="437"/>
      <c r="J15" s="437"/>
      <c r="K15" s="440"/>
      <c r="L15" s="503"/>
      <c r="M15" s="437"/>
      <c r="N15" s="437"/>
      <c r="O15" s="437"/>
      <c r="P15" s="437"/>
      <c r="Q15" s="437"/>
      <c r="R15" s="440"/>
      <c r="S15" s="503" t="s">
        <v>1265</v>
      </c>
    </row>
    <row r="16" spans="1:21" x14ac:dyDescent="0.2">
      <c r="B16" s="496"/>
      <c r="C16" s="504"/>
      <c r="D16" s="505"/>
      <c r="E16" s="506"/>
      <c r="F16" s="507"/>
      <c r="G16" s="508"/>
      <c r="H16" s="506" t="s">
        <v>1222</v>
      </c>
      <c r="I16" s="509" t="s">
        <v>1223</v>
      </c>
      <c r="J16" s="509"/>
      <c r="K16" s="510"/>
      <c r="L16" s="508"/>
      <c r="M16" s="509"/>
      <c r="N16" s="509"/>
      <c r="O16" s="509"/>
      <c r="P16" s="509"/>
      <c r="Q16" s="509" t="s">
        <v>1223</v>
      </c>
      <c r="R16" s="510">
        <v>0</v>
      </c>
    </row>
    <row r="17" spans="2:22" x14ac:dyDescent="0.2">
      <c r="B17" s="496"/>
      <c r="C17" s="511"/>
      <c r="D17" s="512"/>
      <c r="E17" s="513"/>
      <c r="F17" s="511"/>
      <c r="G17" s="611" t="s">
        <v>1266</v>
      </c>
      <c r="H17" s="612"/>
      <c r="I17" s="457"/>
      <c r="J17" s="457"/>
      <c r="K17" s="458"/>
      <c r="L17" s="457"/>
      <c r="M17" s="457"/>
      <c r="N17" s="457"/>
      <c r="O17" s="457"/>
      <c r="P17" s="457"/>
      <c r="Q17" s="457"/>
      <c r="R17" s="459"/>
      <c r="S17" s="457"/>
    </row>
    <row r="18" spans="2:22" x14ac:dyDescent="0.2">
      <c r="B18" s="496"/>
      <c r="C18" s="460"/>
      <c r="D18" s="461"/>
      <c r="E18" s="456"/>
      <c r="F18" s="460"/>
      <c r="G18" s="611" t="s">
        <v>1267</v>
      </c>
      <c r="H18" s="612"/>
      <c r="I18" s="457"/>
      <c r="J18" s="457"/>
      <c r="K18" s="458"/>
      <c r="L18" s="457"/>
      <c r="M18" s="457"/>
      <c r="N18" s="457"/>
      <c r="O18" s="457"/>
      <c r="P18" s="457"/>
      <c r="Q18" s="457"/>
      <c r="R18" s="459"/>
      <c r="S18" s="457"/>
    </row>
    <row r="19" spans="2:22" x14ac:dyDescent="0.2">
      <c r="B19" s="496"/>
      <c r="C19" s="460"/>
      <c r="D19" s="461"/>
      <c r="E19" s="456"/>
      <c r="F19" s="460"/>
      <c r="G19" s="611" t="s">
        <v>1268</v>
      </c>
      <c r="H19" s="612"/>
      <c r="I19" s="457"/>
      <c r="J19" s="457"/>
      <c r="K19" s="458"/>
      <c r="L19" s="457"/>
      <c r="M19" s="457"/>
      <c r="N19" s="457"/>
      <c r="O19" s="457"/>
      <c r="P19" s="457"/>
      <c r="Q19" s="457"/>
      <c r="R19" s="459"/>
      <c r="S19" s="457"/>
      <c r="T19" s="7"/>
    </row>
    <row r="20" spans="2:22" x14ac:dyDescent="0.2">
      <c r="B20" s="496"/>
      <c r="C20" s="460"/>
      <c r="D20" s="461"/>
      <c r="E20" s="456"/>
      <c r="F20" s="460"/>
      <c r="G20" s="611" t="s">
        <v>1269</v>
      </c>
      <c r="H20" s="612"/>
      <c r="I20" s="457"/>
      <c r="J20" s="457"/>
      <c r="K20" s="458"/>
      <c r="L20" s="457"/>
      <c r="M20" s="457"/>
      <c r="N20" s="457"/>
      <c r="O20" s="457"/>
      <c r="P20" s="457"/>
      <c r="Q20" s="457"/>
      <c r="R20" s="459"/>
      <c r="S20" s="457"/>
    </row>
    <row r="21" spans="2:22" x14ac:dyDescent="0.2">
      <c r="B21" s="496"/>
      <c r="C21" s="460"/>
      <c r="D21" s="461"/>
      <c r="E21" s="456"/>
      <c r="F21" s="460"/>
      <c r="G21" s="611" t="s">
        <v>1228</v>
      </c>
      <c r="H21" s="612"/>
      <c r="I21" s="457"/>
      <c r="J21" s="457"/>
      <c r="K21" s="458"/>
      <c r="L21" s="457"/>
      <c r="M21" s="457"/>
      <c r="N21" s="457"/>
      <c r="O21" s="457"/>
      <c r="P21" s="463"/>
      <c r="Q21" s="457"/>
      <c r="R21" s="459"/>
      <c r="S21" s="464" t="s">
        <v>1270</v>
      </c>
      <c r="T21" s="7"/>
    </row>
    <row r="22" spans="2:22" x14ac:dyDescent="0.2">
      <c r="B22" s="496"/>
      <c r="C22" s="460"/>
      <c r="D22" s="461"/>
      <c r="E22" s="456"/>
      <c r="F22" s="460"/>
      <c r="G22" s="611" t="s">
        <v>1230</v>
      </c>
      <c r="H22" s="612"/>
      <c r="I22" s="457"/>
      <c r="J22" s="457"/>
      <c r="K22" s="458"/>
      <c r="L22" s="457"/>
      <c r="M22" s="457"/>
      <c r="N22" s="457"/>
      <c r="O22" s="457"/>
      <c r="P22" s="457"/>
      <c r="Q22" s="457"/>
      <c r="R22" s="459"/>
      <c r="S22" s="457"/>
    </row>
    <row r="23" spans="2:22" ht="13.5" thickBot="1" x14ac:dyDescent="0.25">
      <c r="B23" s="514"/>
      <c r="C23" s="466"/>
      <c r="D23" s="467"/>
      <c r="E23" s="470"/>
      <c r="F23" s="515"/>
      <c r="G23" s="516"/>
      <c r="H23" s="470"/>
      <c r="I23" s="465"/>
      <c r="J23" s="465"/>
      <c r="K23" s="468"/>
      <c r="L23" s="465"/>
      <c r="M23" s="465"/>
      <c r="N23" s="465"/>
      <c r="O23" s="465"/>
      <c r="P23" s="465"/>
      <c r="Q23" s="465"/>
      <c r="R23" s="471"/>
      <c r="S23" s="517"/>
      <c r="U23" s="3" t="s">
        <v>1231</v>
      </c>
    </row>
    <row r="24" spans="2:22" x14ac:dyDescent="0.2">
      <c r="C24" s="429"/>
      <c r="D24" s="430"/>
      <c r="F24" s="431"/>
      <c r="K24" s="431"/>
      <c r="R24" s="431"/>
    </row>
    <row r="25" spans="2:22" x14ac:dyDescent="0.2">
      <c r="C25" s="429"/>
      <c r="D25" s="430"/>
      <c r="F25" s="431"/>
      <c r="I25" s="3"/>
      <c r="J25" s="3"/>
      <c r="K25" s="431"/>
      <c r="P25" s="3"/>
      <c r="Q25" s="3"/>
      <c r="R25" s="431"/>
    </row>
    <row r="26" spans="2:22" x14ac:dyDescent="0.2">
      <c r="C26" s="472" t="s">
        <v>1233</v>
      </c>
      <c r="D26" s="472"/>
      <c r="E26" s="472"/>
      <c r="F26" s="472"/>
      <c r="G26" s="473" t="s">
        <v>1234</v>
      </c>
      <c r="K26" s="610" t="s">
        <v>1236</v>
      </c>
      <c r="L26" s="610"/>
      <c r="N26" s="610" t="s">
        <v>1237</v>
      </c>
      <c r="O26" s="610"/>
      <c r="P26" s="3"/>
      <c r="Q26" s="3"/>
      <c r="R26" s="610" t="s">
        <v>1238</v>
      </c>
      <c r="S26" s="610"/>
      <c r="T26" t="s">
        <v>1239</v>
      </c>
      <c r="U26" s="3"/>
    </row>
    <row r="27" spans="2:22" x14ac:dyDescent="0.2">
      <c r="B27" s="610"/>
      <c r="C27" s="610"/>
      <c r="D27" s="8"/>
      <c r="E27" s="8"/>
      <c r="F27" s="610"/>
      <c r="G27" s="610"/>
      <c r="H27" s="610"/>
    </row>
    <row r="28" spans="2:22" x14ac:dyDescent="0.2">
      <c r="B28" s="582"/>
      <c r="C28" s="582"/>
      <c r="D28" s="232"/>
      <c r="E28" s="232"/>
      <c r="V28" t="s">
        <v>1240</v>
      </c>
    </row>
    <row r="29" spans="2:22" ht="16.5" x14ac:dyDescent="0.25">
      <c r="B29" s="9" t="s">
        <v>1271</v>
      </c>
      <c r="K29" s="610"/>
      <c r="L29" s="610"/>
      <c r="M29" s="8"/>
      <c r="N29" s="8"/>
      <c r="O29" s="474" t="s">
        <v>1241</v>
      </c>
      <c r="V29" t="s">
        <v>1239</v>
      </c>
    </row>
    <row r="30" spans="2:22" ht="16.5" x14ac:dyDescent="0.25">
      <c r="B30" s="9"/>
      <c r="O30" s="474" t="s">
        <v>1242</v>
      </c>
    </row>
    <row r="31" spans="2:22" ht="13.5" customHeight="1" x14ac:dyDescent="0.2">
      <c r="B31" s="435" t="s">
        <v>1231</v>
      </c>
      <c r="C31" t="s">
        <v>1245</v>
      </c>
      <c r="J31" s="610"/>
      <c r="K31" s="610"/>
      <c r="O31" s="474" t="s">
        <v>1244</v>
      </c>
    </row>
    <row r="32" spans="2:22" x14ac:dyDescent="0.2">
      <c r="B32" s="435" t="s">
        <v>1221</v>
      </c>
      <c r="C32" t="s">
        <v>1246</v>
      </c>
      <c r="J32" s="8"/>
      <c r="K32" s="8"/>
    </row>
    <row r="33" spans="2:3" x14ac:dyDescent="0.2">
      <c r="B33" s="435" t="s">
        <v>1247</v>
      </c>
      <c r="C33" t="s">
        <v>1272</v>
      </c>
    </row>
    <row r="34" spans="2:3" x14ac:dyDescent="0.2">
      <c r="B34" s="435"/>
      <c r="C34" t="s">
        <v>1273</v>
      </c>
    </row>
    <row r="35" spans="2:3" x14ac:dyDescent="0.2">
      <c r="B35" s="435" t="s">
        <v>1229</v>
      </c>
      <c r="C35" t="s">
        <v>1274</v>
      </c>
    </row>
    <row r="36" spans="2:3" x14ac:dyDescent="0.2">
      <c r="B36" s="435" t="s">
        <v>1270</v>
      </c>
      <c r="C36" t="s">
        <v>1275</v>
      </c>
    </row>
    <row r="37" spans="2:3" x14ac:dyDescent="0.2">
      <c r="B37" s="435"/>
      <c r="C37" t="s">
        <v>1276</v>
      </c>
    </row>
    <row r="38" spans="2:3" x14ac:dyDescent="0.2">
      <c r="B38" s="435"/>
    </row>
    <row r="39" spans="2:3" x14ac:dyDescent="0.2">
      <c r="B39" s="435"/>
    </row>
    <row r="40" spans="2:3" x14ac:dyDescent="0.2">
      <c r="B40" s="435"/>
    </row>
  </sheetData>
  <mergeCells count="15">
    <mergeCell ref="N26:O26"/>
    <mergeCell ref="R26:S26"/>
    <mergeCell ref="B27:C27"/>
    <mergeCell ref="F27:H27"/>
    <mergeCell ref="E8:G8"/>
    <mergeCell ref="G17:H17"/>
    <mergeCell ref="G18:H18"/>
    <mergeCell ref="G19:H19"/>
    <mergeCell ref="G20:H20"/>
    <mergeCell ref="G21:H21"/>
    <mergeCell ref="B28:C28"/>
    <mergeCell ref="K29:L29"/>
    <mergeCell ref="J31:K31"/>
    <mergeCell ref="G22:H22"/>
    <mergeCell ref="K26:L26"/>
  </mergeCells>
  <phoneticPr fontId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7"/>
  <sheetViews>
    <sheetView zoomScaleNormal="100" workbookViewId="0"/>
    <sheetView tabSelected="1" workbookViewId="1"/>
  </sheetViews>
  <sheetFormatPr defaultRowHeight="12" x14ac:dyDescent="0.2"/>
  <cols>
    <col min="1" max="1" width="5.453125" style="368" customWidth="1"/>
    <col min="2" max="6" width="9" style="368"/>
    <col min="7" max="7" width="10.6328125" style="368" customWidth="1"/>
    <col min="8" max="8" width="11.08984375" style="368" customWidth="1"/>
    <col min="9" max="9" width="15.6328125" style="368" customWidth="1"/>
    <col min="10" max="247" width="9" style="368"/>
    <col min="248" max="248" width="7" style="368" customWidth="1"/>
    <col min="249" max="253" width="9" style="368"/>
    <col min="254" max="254" width="10.6328125" style="368" customWidth="1"/>
    <col min="255" max="255" width="9" style="368"/>
    <col min="256" max="256" width="12.26953125" style="368" customWidth="1"/>
    <col min="257" max="503" width="9" style="368"/>
    <col min="504" max="504" width="7" style="368" customWidth="1"/>
    <col min="505" max="509" width="9" style="368"/>
    <col min="510" max="510" width="10.6328125" style="368" customWidth="1"/>
    <col min="511" max="511" width="9" style="368"/>
    <col min="512" max="512" width="12.26953125" style="368" customWidth="1"/>
    <col min="513" max="759" width="9" style="368"/>
    <col min="760" max="760" width="7" style="368" customWidth="1"/>
    <col min="761" max="765" width="9" style="368"/>
    <col min="766" max="766" width="10.6328125" style="368" customWidth="1"/>
    <col min="767" max="767" width="9" style="368"/>
    <col min="768" max="768" width="12.26953125" style="368" customWidth="1"/>
    <col min="769" max="1015" width="9" style="368"/>
    <col min="1016" max="1016" width="7" style="368" customWidth="1"/>
    <col min="1017" max="1021" width="9" style="368"/>
    <col min="1022" max="1022" width="10.6328125" style="368" customWidth="1"/>
    <col min="1023" max="1023" width="9" style="368"/>
    <col min="1024" max="1024" width="12.26953125" style="368" customWidth="1"/>
    <col min="1025" max="1271" width="9" style="368"/>
    <col min="1272" max="1272" width="7" style="368" customWidth="1"/>
    <col min="1273" max="1277" width="9" style="368"/>
    <col min="1278" max="1278" width="10.6328125" style="368" customWidth="1"/>
    <col min="1279" max="1279" width="9" style="368"/>
    <col min="1280" max="1280" width="12.26953125" style="368" customWidth="1"/>
    <col min="1281" max="1527" width="9" style="368"/>
    <col min="1528" max="1528" width="7" style="368" customWidth="1"/>
    <col min="1529" max="1533" width="9" style="368"/>
    <col min="1534" max="1534" width="10.6328125" style="368" customWidth="1"/>
    <col min="1535" max="1535" width="9" style="368"/>
    <col min="1536" max="1536" width="12.26953125" style="368" customWidth="1"/>
    <col min="1537" max="1783" width="9" style="368"/>
    <col min="1784" max="1784" width="7" style="368" customWidth="1"/>
    <col min="1785" max="1789" width="9" style="368"/>
    <col min="1790" max="1790" width="10.6328125" style="368" customWidth="1"/>
    <col min="1791" max="1791" width="9" style="368"/>
    <col min="1792" max="1792" width="12.26953125" style="368" customWidth="1"/>
    <col min="1793" max="2039" width="9" style="368"/>
    <col min="2040" max="2040" width="7" style="368" customWidth="1"/>
    <col min="2041" max="2045" width="9" style="368"/>
    <col min="2046" max="2046" width="10.6328125" style="368" customWidth="1"/>
    <col min="2047" max="2047" width="9" style="368"/>
    <col min="2048" max="2048" width="12.26953125" style="368" customWidth="1"/>
    <col min="2049" max="2295" width="9" style="368"/>
    <col min="2296" max="2296" width="7" style="368" customWidth="1"/>
    <col min="2297" max="2301" width="9" style="368"/>
    <col min="2302" max="2302" width="10.6328125" style="368" customWidth="1"/>
    <col min="2303" max="2303" width="9" style="368"/>
    <col min="2304" max="2304" width="12.26953125" style="368" customWidth="1"/>
    <col min="2305" max="2551" width="9" style="368"/>
    <col min="2552" max="2552" width="7" style="368" customWidth="1"/>
    <col min="2553" max="2557" width="9" style="368"/>
    <col min="2558" max="2558" width="10.6328125" style="368" customWidth="1"/>
    <col min="2559" max="2559" width="9" style="368"/>
    <col min="2560" max="2560" width="12.26953125" style="368" customWidth="1"/>
    <col min="2561" max="2807" width="9" style="368"/>
    <col min="2808" max="2808" width="7" style="368" customWidth="1"/>
    <col min="2809" max="2813" width="9" style="368"/>
    <col min="2814" max="2814" width="10.6328125" style="368" customWidth="1"/>
    <col min="2815" max="2815" width="9" style="368"/>
    <col min="2816" max="2816" width="12.26953125" style="368" customWidth="1"/>
    <col min="2817" max="3063" width="9" style="368"/>
    <col min="3064" max="3064" width="7" style="368" customWidth="1"/>
    <col min="3065" max="3069" width="9" style="368"/>
    <col min="3070" max="3070" width="10.6328125" style="368" customWidth="1"/>
    <col min="3071" max="3071" width="9" style="368"/>
    <col min="3072" max="3072" width="12.26953125" style="368" customWidth="1"/>
    <col min="3073" max="3319" width="9" style="368"/>
    <col min="3320" max="3320" width="7" style="368" customWidth="1"/>
    <col min="3321" max="3325" width="9" style="368"/>
    <col min="3326" max="3326" width="10.6328125" style="368" customWidth="1"/>
    <col min="3327" max="3327" width="9" style="368"/>
    <col min="3328" max="3328" width="12.26953125" style="368" customWidth="1"/>
    <col min="3329" max="3575" width="9" style="368"/>
    <col min="3576" max="3576" width="7" style="368" customWidth="1"/>
    <col min="3577" max="3581" width="9" style="368"/>
    <col min="3582" max="3582" width="10.6328125" style="368" customWidth="1"/>
    <col min="3583" max="3583" width="9" style="368"/>
    <col min="3584" max="3584" width="12.26953125" style="368" customWidth="1"/>
    <col min="3585" max="3831" width="9" style="368"/>
    <col min="3832" max="3832" width="7" style="368" customWidth="1"/>
    <col min="3833" max="3837" width="9" style="368"/>
    <col min="3838" max="3838" width="10.6328125" style="368" customWidth="1"/>
    <col min="3839" max="3839" width="9" style="368"/>
    <col min="3840" max="3840" width="12.26953125" style="368" customWidth="1"/>
    <col min="3841" max="4087" width="9" style="368"/>
    <col min="4088" max="4088" width="7" style="368" customWidth="1"/>
    <col min="4089" max="4093" width="9" style="368"/>
    <col min="4094" max="4094" width="10.6328125" style="368" customWidth="1"/>
    <col min="4095" max="4095" width="9" style="368"/>
    <col min="4096" max="4096" width="12.26953125" style="368" customWidth="1"/>
    <col min="4097" max="4343" width="9" style="368"/>
    <col min="4344" max="4344" width="7" style="368" customWidth="1"/>
    <col min="4345" max="4349" width="9" style="368"/>
    <col min="4350" max="4350" width="10.6328125" style="368" customWidth="1"/>
    <col min="4351" max="4351" width="9" style="368"/>
    <col min="4352" max="4352" width="12.26953125" style="368" customWidth="1"/>
    <col min="4353" max="4599" width="9" style="368"/>
    <col min="4600" max="4600" width="7" style="368" customWidth="1"/>
    <col min="4601" max="4605" width="9" style="368"/>
    <col min="4606" max="4606" width="10.6328125" style="368" customWidth="1"/>
    <col min="4607" max="4607" width="9" style="368"/>
    <col min="4608" max="4608" width="12.26953125" style="368" customWidth="1"/>
    <col min="4609" max="4855" width="9" style="368"/>
    <col min="4856" max="4856" width="7" style="368" customWidth="1"/>
    <col min="4857" max="4861" width="9" style="368"/>
    <col min="4862" max="4862" width="10.6328125" style="368" customWidth="1"/>
    <col min="4863" max="4863" width="9" style="368"/>
    <col min="4864" max="4864" width="12.26953125" style="368" customWidth="1"/>
    <col min="4865" max="5111" width="9" style="368"/>
    <col min="5112" max="5112" width="7" style="368" customWidth="1"/>
    <col min="5113" max="5117" width="9" style="368"/>
    <col min="5118" max="5118" width="10.6328125" style="368" customWidth="1"/>
    <col min="5119" max="5119" width="9" style="368"/>
    <col min="5120" max="5120" width="12.26953125" style="368" customWidth="1"/>
    <col min="5121" max="5367" width="9" style="368"/>
    <col min="5368" max="5368" width="7" style="368" customWidth="1"/>
    <col min="5369" max="5373" width="9" style="368"/>
    <col min="5374" max="5374" width="10.6328125" style="368" customWidth="1"/>
    <col min="5375" max="5375" width="9" style="368"/>
    <col min="5376" max="5376" width="12.26953125" style="368" customWidth="1"/>
    <col min="5377" max="5623" width="9" style="368"/>
    <col min="5624" max="5624" width="7" style="368" customWidth="1"/>
    <col min="5625" max="5629" width="9" style="368"/>
    <col min="5630" max="5630" width="10.6328125" style="368" customWidth="1"/>
    <col min="5631" max="5631" width="9" style="368"/>
    <col min="5632" max="5632" width="12.26953125" style="368" customWidth="1"/>
    <col min="5633" max="5879" width="9" style="368"/>
    <col min="5880" max="5880" width="7" style="368" customWidth="1"/>
    <col min="5881" max="5885" width="9" style="368"/>
    <col min="5886" max="5886" width="10.6328125" style="368" customWidth="1"/>
    <col min="5887" max="5887" width="9" style="368"/>
    <col min="5888" max="5888" width="12.26953125" style="368" customWidth="1"/>
    <col min="5889" max="6135" width="9" style="368"/>
    <col min="6136" max="6136" width="7" style="368" customWidth="1"/>
    <col min="6137" max="6141" width="9" style="368"/>
    <col min="6142" max="6142" width="10.6328125" style="368" customWidth="1"/>
    <col min="6143" max="6143" width="9" style="368"/>
    <col min="6144" max="6144" width="12.26953125" style="368" customWidth="1"/>
    <col min="6145" max="6391" width="9" style="368"/>
    <col min="6392" max="6392" width="7" style="368" customWidth="1"/>
    <col min="6393" max="6397" width="9" style="368"/>
    <col min="6398" max="6398" width="10.6328125" style="368" customWidth="1"/>
    <col min="6399" max="6399" width="9" style="368"/>
    <col min="6400" max="6400" width="12.26953125" style="368" customWidth="1"/>
    <col min="6401" max="6647" width="9" style="368"/>
    <col min="6648" max="6648" width="7" style="368" customWidth="1"/>
    <col min="6649" max="6653" width="9" style="368"/>
    <col min="6654" max="6654" width="10.6328125" style="368" customWidth="1"/>
    <col min="6655" max="6655" width="9" style="368"/>
    <col min="6656" max="6656" width="12.26953125" style="368" customWidth="1"/>
    <col min="6657" max="6903" width="9" style="368"/>
    <col min="6904" max="6904" width="7" style="368" customWidth="1"/>
    <col min="6905" max="6909" width="9" style="368"/>
    <col min="6910" max="6910" width="10.6328125" style="368" customWidth="1"/>
    <col min="6911" max="6911" width="9" style="368"/>
    <col min="6912" max="6912" width="12.26953125" style="368" customWidth="1"/>
    <col min="6913" max="7159" width="9" style="368"/>
    <col min="7160" max="7160" width="7" style="368" customWidth="1"/>
    <col min="7161" max="7165" width="9" style="368"/>
    <col min="7166" max="7166" width="10.6328125" style="368" customWidth="1"/>
    <col min="7167" max="7167" width="9" style="368"/>
    <col min="7168" max="7168" width="12.26953125" style="368" customWidth="1"/>
    <col min="7169" max="7415" width="9" style="368"/>
    <col min="7416" max="7416" width="7" style="368" customWidth="1"/>
    <col min="7417" max="7421" width="9" style="368"/>
    <col min="7422" max="7422" width="10.6328125" style="368" customWidth="1"/>
    <col min="7423" max="7423" width="9" style="368"/>
    <col min="7424" max="7424" width="12.26953125" style="368" customWidth="1"/>
    <col min="7425" max="7671" width="9" style="368"/>
    <col min="7672" max="7672" width="7" style="368" customWidth="1"/>
    <col min="7673" max="7677" width="9" style="368"/>
    <col min="7678" max="7678" width="10.6328125" style="368" customWidth="1"/>
    <col min="7679" max="7679" width="9" style="368"/>
    <col min="7680" max="7680" width="12.26953125" style="368" customWidth="1"/>
    <col min="7681" max="7927" width="9" style="368"/>
    <col min="7928" max="7928" width="7" style="368" customWidth="1"/>
    <col min="7929" max="7933" width="9" style="368"/>
    <col min="7934" max="7934" width="10.6328125" style="368" customWidth="1"/>
    <col min="7935" max="7935" width="9" style="368"/>
    <col min="7936" max="7936" width="12.26953125" style="368" customWidth="1"/>
    <col min="7937" max="8183" width="9" style="368"/>
    <col min="8184" max="8184" width="7" style="368" customWidth="1"/>
    <col min="8185" max="8189" width="9" style="368"/>
    <col min="8190" max="8190" width="10.6328125" style="368" customWidth="1"/>
    <col min="8191" max="8191" width="9" style="368"/>
    <col min="8192" max="8192" width="12.26953125" style="368" customWidth="1"/>
    <col min="8193" max="8439" width="9" style="368"/>
    <col min="8440" max="8440" width="7" style="368" customWidth="1"/>
    <col min="8441" max="8445" width="9" style="368"/>
    <col min="8446" max="8446" width="10.6328125" style="368" customWidth="1"/>
    <col min="8447" max="8447" width="9" style="368"/>
    <col min="8448" max="8448" width="12.26953125" style="368" customWidth="1"/>
    <col min="8449" max="8695" width="9" style="368"/>
    <col min="8696" max="8696" width="7" style="368" customWidth="1"/>
    <col min="8697" max="8701" width="9" style="368"/>
    <col min="8702" max="8702" width="10.6328125" style="368" customWidth="1"/>
    <col min="8703" max="8703" width="9" style="368"/>
    <col min="8704" max="8704" width="12.26953125" style="368" customWidth="1"/>
    <col min="8705" max="8951" width="9" style="368"/>
    <col min="8952" max="8952" width="7" style="368" customWidth="1"/>
    <col min="8953" max="8957" width="9" style="368"/>
    <col min="8958" max="8958" width="10.6328125" style="368" customWidth="1"/>
    <col min="8959" max="8959" width="9" style="368"/>
    <col min="8960" max="8960" width="12.26953125" style="368" customWidth="1"/>
    <col min="8961" max="9207" width="9" style="368"/>
    <col min="9208" max="9208" width="7" style="368" customWidth="1"/>
    <col min="9209" max="9213" width="9" style="368"/>
    <col min="9214" max="9214" width="10.6328125" style="368" customWidth="1"/>
    <col min="9215" max="9215" width="9" style="368"/>
    <col min="9216" max="9216" width="12.26953125" style="368" customWidth="1"/>
    <col min="9217" max="9463" width="9" style="368"/>
    <col min="9464" max="9464" width="7" style="368" customWidth="1"/>
    <col min="9465" max="9469" width="9" style="368"/>
    <col min="9470" max="9470" width="10.6328125" style="368" customWidth="1"/>
    <col min="9471" max="9471" width="9" style="368"/>
    <col min="9472" max="9472" width="12.26953125" style="368" customWidth="1"/>
    <col min="9473" max="9719" width="9" style="368"/>
    <col min="9720" max="9720" width="7" style="368" customWidth="1"/>
    <col min="9721" max="9725" width="9" style="368"/>
    <col min="9726" max="9726" width="10.6328125" style="368" customWidth="1"/>
    <col min="9727" max="9727" width="9" style="368"/>
    <col min="9728" max="9728" width="12.26953125" style="368" customWidth="1"/>
    <col min="9729" max="9975" width="9" style="368"/>
    <col min="9976" max="9976" width="7" style="368" customWidth="1"/>
    <col min="9977" max="9981" width="9" style="368"/>
    <col min="9982" max="9982" width="10.6328125" style="368" customWidth="1"/>
    <col min="9983" max="9983" width="9" style="368"/>
    <col min="9984" max="9984" width="12.26953125" style="368" customWidth="1"/>
    <col min="9985" max="10231" width="9" style="368"/>
    <col min="10232" max="10232" width="7" style="368" customWidth="1"/>
    <col min="10233" max="10237" width="9" style="368"/>
    <col min="10238" max="10238" width="10.6328125" style="368" customWidth="1"/>
    <col min="10239" max="10239" width="9" style="368"/>
    <col min="10240" max="10240" width="12.26953125" style="368" customWidth="1"/>
    <col min="10241" max="10487" width="9" style="368"/>
    <col min="10488" max="10488" width="7" style="368" customWidth="1"/>
    <col min="10489" max="10493" width="9" style="368"/>
    <col min="10494" max="10494" width="10.6328125" style="368" customWidth="1"/>
    <col min="10495" max="10495" width="9" style="368"/>
    <col min="10496" max="10496" width="12.26953125" style="368" customWidth="1"/>
    <col min="10497" max="10743" width="9" style="368"/>
    <col min="10744" max="10744" width="7" style="368" customWidth="1"/>
    <col min="10745" max="10749" width="9" style="368"/>
    <col min="10750" max="10750" width="10.6328125" style="368" customWidth="1"/>
    <col min="10751" max="10751" width="9" style="368"/>
    <col min="10752" max="10752" width="12.26953125" style="368" customWidth="1"/>
    <col min="10753" max="10999" width="9" style="368"/>
    <col min="11000" max="11000" width="7" style="368" customWidth="1"/>
    <col min="11001" max="11005" width="9" style="368"/>
    <col min="11006" max="11006" width="10.6328125" style="368" customWidth="1"/>
    <col min="11007" max="11007" width="9" style="368"/>
    <col min="11008" max="11008" width="12.26953125" style="368" customWidth="1"/>
    <col min="11009" max="11255" width="9" style="368"/>
    <col min="11256" max="11256" width="7" style="368" customWidth="1"/>
    <col min="11257" max="11261" width="9" style="368"/>
    <col min="11262" max="11262" width="10.6328125" style="368" customWidth="1"/>
    <col min="11263" max="11263" width="9" style="368"/>
    <col min="11264" max="11264" width="12.26953125" style="368" customWidth="1"/>
    <col min="11265" max="11511" width="9" style="368"/>
    <col min="11512" max="11512" width="7" style="368" customWidth="1"/>
    <col min="11513" max="11517" width="9" style="368"/>
    <col min="11518" max="11518" width="10.6328125" style="368" customWidth="1"/>
    <col min="11519" max="11519" width="9" style="368"/>
    <col min="11520" max="11520" width="12.26953125" style="368" customWidth="1"/>
    <col min="11521" max="11767" width="9" style="368"/>
    <col min="11768" max="11768" width="7" style="368" customWidth="1"/>
    <col min="11769" max="11773" width="9" style="368"/>
    <col min="11774" max="11774" width="10.6328125" style="368" customWidth="1"/>
    <col min="11775" max="11775" width="9" style="368"/>
    <col min="11776" max="11776" width="12.26953125" style="368" customWidth="1"/>
    <col min="11777" max="12023" width="9" style="368"/>
    <col min="12024" max="12024" width="7" style="368" customWidth="1"/>
    <col min="12025" max="12029" width="9" style="368"/>
    <col min="12030" max="12030" width="10.6328125" style="368" customWidth="1"/>
    <col min="12031" max="12031" width="9" style="368"/>
    <col min="12032" max="12032" width="12.26953125" style="368" customWidth="1"/>
    <col min="12033" max="12279" width="9" style="368"/>
    <col min="12280" max="12280" width="7" style="368" customWidth="1"/>
    <col min="12281" max="12285" width="9" style="368"/>
    <col min="12286" max="12286" width="10.6328125" style="368" customWidth="1"/>
    <col min="12287" max="12287" width="9" style="368"/>
    <col min="12288" max="12288" width="12.26953125" style="368" customWidth="1"/>
    <col min="12289" max="12535" width="9" style="368"/>
    <col min="12536" max="12536" width="7" style="368" customWidth="1"/>
    <col min="12537" max="12541" width="9" style="368"/>
    <col min="12542" max="12542" width="10.6328125" style="368" customWidth="1"/>
    <col min="12543" max="12543" width="9" style="368"/>
    <col min="12544" max="12544" width="12.26953125" style="368" customWidth="1"/>
    <col min="12545" max="12791" width="9" style="368"/>
    <col min="12792" max="12792" width="7" style="368" customWidth="1"/>
    <col min="12793" max="12797" width="9" style="368"/>
    <col min="12798" max="12798" width="10.6328125" style="368" customWidth="1"/>
    <col min="12799" max="12799" width="9" style="368"/>
    <col min="12800" max="12800" width="12.26953125" style="368" customWidth="1"/>
    <col min="12801" max="13047" width="9" style="368"/>
    <col min="13048" max="13048" width="7" style="368" customWidth="1"/>
    <col min="13049" max="13053" width="9" style="368"/>
    <col min="13054" max="13054" width="10.6328125" style="368" customWidth="1"/>
    <col min="13055" max="13055" width="9" style="368"/>
    <col min="13056" max="13056" width="12.26953125" style="368" customWidth="1"/>
    <col min="13057" max="13303" width="9" style="368"/>
    <col min="13304" max="13304" width="7" style="368" customWidth="1"/>
    <col min="13305" max="13309" width="9" style="368"/>
    <col min="13310" max="13310" width="10.6328125" style="368" customWidth="1"/>
    <col min="13311" max="13311" width="9" style="368"/>
    <col min="13312" max="13312" width="12.26953125" style="368" customWidth="1"/>
    <col min="13313" max="13559" width="9" style="368"/>
    <col min="13560" max="13560" width="7" style="368" customWidth="1"/>
    <col min="13561" max="13565" width="9" style="368"/>
    <col min="13566" max="13566" width="10.6328125" style="368" customWidth="1"/>
    <col min="13567" max="13567" width="9" style="368"/>
    <col min="13568" max="13568" width="12.26953125" style="368" customWidth="1"/>
    <col min="13569" max="13815" width="9" style="368"/>
    <col min="13816" max="13816" width="7" style="368" customWidth="1"/>
    <col min="13817" max="13821" width="9" style="368"/>
    <col min="13822" max="13822" width="10.6328125" style="368" customWidth="1"/>
    <col min="13823" max="13823" width="9" style="368"/>
    <col min="13824" max="13824" width="12.26953125" style="368" customWidth="1"/>
    <col min="13825" max="14071" width="9" style="368"/>
    <col min="14072" max="14072" width="7" style="368" customWidth="1"/>
    <col min="14073" max="14077" width="9" style="368"/>
    <col min="14078" max="14078" width="10.6328125" style="368" customWidth="1"/>
    <col min="14079" max="14079" width="9" style="368"/>
    <col min="14080" max="14080" width="12.26953125" style="368" customWidth="1"/>
    <col min="14081" max="14327" width="9" style="368"/>
    <col min="14328" max="14328" width="7" style="368" customWidth="1"/>
    <col min="14329" max="14333" width="9" style="368"/>
    <col min="14334" max="14334" width="10.6328125" style="368" customWidth="1"/>
    <col min="14335" max="14335" width="9" style="368"/>
    <col min="14336" max="14336" width="12.26953125" style="368" customWidth="1"/>
    <col min="14337" max="14583" width="9" style="368"/>
    <col min="14584" max="14584" width="7" style="368" customWidth="1"/>
    <col min="14585" max="14589" width="9" style="368"/>
    <col min="14590" max="14590" width="10.6328125" style="368" customWidth="1"/>
    <col min="14591" max="14591" width="9" style="368"/>
    <col min="14592" max="14592" width="12.26953125" style="368" customWidth="1"/>
    <col min="14593" max="14839" width="9" style="368"/>
    <col min="14840" max="14840" width="7" style="368" customWidth="1"/>
    <col min="14841" max="14845" width="9" style="368"/>
    <col min="14846" max="14846" width="10.6328125" style="368" customWidth="1"/>
    <col min="14847" max="14847" width="9" style="368"/>
    <col min="14848" max="14848" width="12.26953125" style="368" customWidth="1"/>
    <col min="14849" max="15095" width="9" style="368"/>
    <col min="15096" max="15096" width="7" style="368" customWidth="1"/>
    <col min="15097" max="15101" width="9" style="368"/>
    <col min="15102" max="15102" width="10.6328125" style="368" customWidth="1"/>
    <col min="15103" max="15103" width="9" style="368"/>
    <col min="15104" max="15104" width="12.26953125" style="368" customWidth="1"/>
    <col min="15105" max="15351" width="9" style="368"/>
    <col min="15352" max="15352" width="7" style="368" customWidth="1"/>
    <col min="15353" max="15357" width="9" style="368"/>
    <col min="15358" max="15358" width="10.6328125" style="368" customWidth="1"/>
    <col min="15359" max="15359" width="9" style="368"/>
    <col min="15360" max="15360" width="12.26953125" style="368" customWidth="1"/>
    <col min="15361" max="15607" width="9" style="368"/>
    <col min="15608" max="15608" width="7" style="368" customWidth="1"/>
    <col min="15609" max="15613" width="9" style="368"/>
    <col min="15614" max="15614" width="10.6328125" style="368" customWidth="1"/>
    <col min="15615" max="15615" width="9" style="368"/>
    <col min="15616" max="15616" width="12.26953125" style="368" customWidth="1"/>
    <col min="15617" max="15863" width="9" style="368"/>
    <col min="15864" max="15864" width="7" style="368" customWidth="1"/>
    <col min="15865" max="15869" width="9" style="368"/>
    <col min="15870" max="15870" width="10.6328125" style="368" customWidth="1"/>
    <col min="15871" max="15871" width="9" style="368"/>
    <col min="15872" max="15872" width="12.26953125" style="368" customWidth="1"/>
    <col min="15873" max="16119" width="9" style="368"/>
    <col min="16120" max="16120" width="7" style="368" customWidth="1"/>
    <col min="16121" max="16125" width="9" style="368"/>
    <col min="16126" max="16126" width="10.6328125" style="368" customWidth="1"/>
    <col min="16127" max="16127" width="9" style="368"/>
    <col min="16128" max="16128" width="12.26953125" style="368" customWidth="1"/>
    <col min="16129" max="16384" width="9" style="368"/>
  </cols>
  <sheetData>
    <row r="1" spans="1:9" s="366" customFormat="1" ht="21.75" customHeight="1" x14ac:dyDescent="0.2">
      <c r="A1" s="365" t="s">
        <v>52</v>
      </c>
    </row>
    <row r="2" spans="1:9" ht="14.5" customHeight="1" x14ac:dyDescent="0.2">
      <c r="A2" s="367">
        <v>1</v>
      </c>
      <c r="B2" s="368" t="s">
        <v>457</v>
      </c>
    </row>
    <row r="3" spans="1:9" ht="14.5" customHeight="1" x14ac:dyDescent="0.2">
      <c r="A3" s="367">
        <v>2</v>
      </c>
      <c r="B3" s="368" t="s">
        <v>458</v>
      </c>
    </row>
    <row r="4" spans="1:9" ht="14.5" customHeight="1" x14ac:dyDescent="0.2">
      <c r="A4" s="367">
        <v>3</v>
      </c>
      <c r="B4" s="368" t="s">
        <v>459</v>
      </c>
    </row>
    <row r="5" spans="1:9" ht="14.5" customHeight="1" x14ac:dyDescent="0.2">
      <c r="A5" s="367"/>
      <c r="I5" s="369" t="s">
        <v>460</v>
      </c>
    </row>
    <row r="6" spans="1:9" ht="14.5" customHeight="1" x14ac:dyDescent="0.2">
      <c r="A6" s="367">
        <v>4</v>
      </c>
      <c r="B6" s="368" t="s">
        <v>461</v>
      </c>
    </row>
    <row r="7" spans="1:9" ht="14.5" customHeight="1" x14ac:dyDescent="0.2">
      <c r="A7" s="367"/>
      <c r="B7" s="368" t="s">
        <v>462</v>
      </c>
    </row>
    <row r="8" spans="1:9" ht="14.5" customHeight="1" x14ac:dyDescent="0.2">
      <c r="A8" s="367"/>
      <c r="B8" s="368" t="s">
        <v>463</v>
      </c>
    </row>
    <row r="9" spans="1:9" ht="14.5" customHeight="1" x14ac:dyDescent="0.2">
      <c r="A9" s="367"/>
      <c r="B9" s="368" t="s">
        <v>464</v>
      </c>
      <c r="I9" s="369" t="s">
        <v>465</v>
      </c>
    </row>
    <row r="10" spans="1:9" ht="14.5" customHeight="1" x14ac:dyDescent="0.2">
      <c r="A10" s="367"/>
      <c r="B10" s="368" t="s">
        <v>466</v>
      </c>
      <c r="I10" s="369" t="s">
        <v>467</v>
      </c>
    </row>
    <row r="11" spans="1:9" ht="14.5" customHeight="1" x14ac:dyDescent="0.2">
      <c r="A11" s="367">
        <v>5</v>
      </c>
      <c r="B11" s="368" t="s">
        <v>468</v>
      </c>
    </row>
    <row r="12" spans="1:9" ht="14.5" customHeight="1" x14ac:dyDescent="0.2">
      <c r="A12" s="367"/>
      <c r="B12" s="368" t="s">
        <v>469</v>
      </c>
    </row>
    <row r="13" spans="1:9" ht="14.5" customHeight="1" x14ac:dyDescent="0.2">
      <c r="A13" s="367"/>
      <c r="B13" s="368" t="s">
        <v>470</v>
      </c>
      <c r="I13" s="369" t="s">
        <v>471</v>
      </c>
    </row>
    <row r="14" spans="1:9" ht="14.5" customHeight="1" x14ac:dyDescent="0.2">
      <c r="A14" s="367">
        <v>6</v>
      </c>
      <c r="B14" s="368" t="s">
        <v>472</v>
      </c>
    </row>
    <row r="15" spans="1:9" ht="14.5" customHeight="1" x14ac:dyDescent="0.2">
      <c r="A15" s="367"/>
      <c r="B15" s="368" t="s">
        <v>473</v>
      </c>
    </row>
    <row r="16" spans="1:9" ht="14.5" customHeight="1" x14ac:dyDescent="0.2">
      <c r="A16" s="367"/>
      <c r="I16" s="369" t="s">
        <v>474</v>
      </c>
    </row>
    <row r="17" spans="1:9" ht="14.5" customHeight="1" x14ac:dyDescent="0.2">
      <c r="A17" s="367">
        <v>7</v>
      </c>
      <c r="B17" s="368" t="s">
        <v>475</v>
      </c>
    </row>
    <row r="18" spans="1:9" ht="14.5" customHeight="1" x14ac:dyDescent="0.2">
      <c r="A18" s="367"/>
      <c r="B18" s="368" t="s">
        <v>476</v>
      </c>
      <c r="I18" s="369" t="s">
        <v>477</v>
      </c>
    </row>
    <row r="19" spans="1:9" ht="14.5" customHeight="1" x14ac:dyDescent="0.2">
      <c r="A19" s="367"/>
      <c r="B19" s="368" t="s">
        <v>478</v>
      </c>
      <c r="I19" s="369" t="s">
        <v>479</v>
      </c>
    </row>
    <row r="20" spans="1:9" ht="14.5" customHeight="1" x14ac:dyDescent="0.2">
      <c r="A20" s="367"/>
      <c r="B20" s="368" t="s">
        <v>480</v>
      </c>
      <c r="I20" s="369"/>
    </row>
    <row r="21" spans="1:9" ht="14.5" customHeight="1" x14ac:dyDescent="0.2">
      <c r="A21" s="367">
        <v>8</v>
      </c>
      <c r="B21" s="368" t="s">
        <v>481</v>
      </c>
    </row>
    <row r="22" spans="1:9" ht="14.5" customHeight="1" x14ac:dyDescent="0.2">
      <c r="A22" s="367"/>
      <c r="B22" s="368" t="s">
        <v>482</v>
      </c>
    </row>
    <row r="23" spans="1:9" ht="14.5" customHeight="1" x14ac:dyDescent="0.2">
      <c r="A23" s="367"/>
      <c r="B23" s="368" t="s">
        <v>608</v>
      </c>
    </row>
    <row r="24" spans="1:9" ht="14.5" customHeight="1" x14ac:dyDescent="0.2">
      <c r="A24" s="367"/>
      <c r="B24" s="368" t="s">
        <v>482</v>
      </c>
      <c r="I24" s="369" t="s">
        <v>483</v>
      </c>
    </row>
    <row r="25" spans="1:9" ht="14.5" customHeight="1" x14ac:dyDescent="0.2">
      <c r="A25" s="367">
        <v>9</v>
      </c>
      <c r="B25" s="368" t="s">
        <v>484</v>
      </c>
    </row>
    <row r="26" spans="1:9" ht="14.5" customHeight="1" x14ac:dyDescent="0.2">
      <c r="A26" s="367"/>
      <c r="B26" s="368" t="s">
        <v>485</v>
      </c>
      <c r="I26" s="369" t="s">
        <v>486</v>
      </c>
    </row>
    <row r="27" spans="1:9" ht="14.5" customHeight="1" x14ac:dyDescent="0.2">
      <c r="A27" s="367">
        <v>10</v>
      </c>
      <c r="B27" s="368" t="s">
        <v>487</v>
      </c>
    </row>
    <row r="28" spans="1:9" ht="14.5" customHeight="1" x14ac:dyDescent="0.2">
      <c r="A28" s="367"/>
      <c r="B28" s="368" t="s">
        <v>488</v>
      </c>
      <c r="I28" s="369" t="s">
        <v>609</v>
      </c>
    </row>
    <row r="29" spans="1:9" ht="14.5" customHeight="1" x14ac:dyDescent="0.2">
      <c r="A29" s="367">
        <v>11</v>
      </c>
      <c r="B29" s="368" t="s">
        <v>489</v>
      </c>
    </row>
    <row r="30" spans="1:9" ht="14.5" customHeight="1" x14ac:dyDescent="0.2">
      <c r="A30" s="367"/>
      <c r="B30" s="368" t="s">
        <v>490</v>
      </c>
      <c r="I30" s="369" t="s">
        <v>491</v>
      </c>
    </row>
    <row r="31" spans="1:9" ht="14.5" customHeight="1" x14ac:dyDescent="0.2">
      <c r="A31" s="367">
        <v>12</v>
      </c>
      <c r="B31" s="368" t="s">
        <v>492</v>
      </c>
    </row>
    <row r="32" spans="1:9" ht="14.5" customHeight="1" x14ac:dyDescent="0.2">
      <c r="A32" s="367"/>
      <c r="B32" s="368" t="s">
        <v>493</v>
      </c>
      <c r="I32" s="369" t="s">
        <v>494</v>
      </c>
    </row>
    <row r="33" spans="1:9" ht="14.5" customHeight="1" x14ac:dyDescent="0.2">
      <c r="A33" s="367">
        <v>13</v>
      </c>
      <c r="B33" s="368" t="s">
        <v>495</v>
      </c>
      <c r="C33" s="370"/>
      <c r="D33" s="370"/>
      <c r="E33" s="370"/>
      <c r="F33" s="370"/>
      <c r="G33" s="370"/>
    </row>
    <row r="34" spans="1:9" ht="14.5" customHeight="1" x14ac:dyDescent="0.2">
      <c r="A34" s="371"/>
      <c r="B34" s="368" t="s">
        <v>496</v>
      </c>
      <c r="I34" s="369" t="s">
        <v>497</v>
      </c>
    </row>
    <row r="35" spans="1:9" ht="14.5" customHeight="1" x14ac:dyDescent="0.2">
      <c r="A35" s="371"/>
      <c r="B35" s="368" t="s">
        <v>498</v>
      </c>
      <c r="I35" s="369"/>
    </row>
    <row r="36" spans="1:9" ht="14.5" customHeight="1" x14ac:dyDescent="0.2">
      <c r="A36" s="371"/>
      <c r="B36" s="368" t="s">
        <v>499</v>
      </c>
      <c r="I36" s="369" t="s">
        <v>474</v>
      </c>
    </row>
    <row r="37" spans="1:9" ht="14.5" customHeight="1" x14ac:dyDescent="0.2">
      <c r="A37" s="371"/>
      <c r="B37" s="368" t="s">
        <v>500</v>
      </c>
      <c r="I37" s="369" t="s">
        <v>477</v>
      </c>
    </row>
    <row r="38" spans="1:9" ht="14.5" customHeight="1" x14ac:dyDescent="0.2">
      <c r="A38" s="371"/>
      <c r="B38" s="368" t="s">
        <v>501</v>
      </c>
      <c r="I38" s="369" t="s">
        <v>502</v>
      </c>
    </row>
    <row r="39" spans="1:9" ht="14.5" customHeight="1" x14ac:dyDescent="0.2">
      <c r="A39" s="371"/>
      <c r="B39" s="368" t="s">
        <v>503</v>
      </c>
      <c r="I39" s="369" t="s">
        <v>504</v>
      </c>
    </row>
    <row r="40" spans="1:9" ht="14.5" customHeight="1" x14ac:dyDescent="0.2">
      <c r="A40" s="371"/>
      <c r="B40" s="368" t="s">
        <v>505</v>
      </c>
    </row>
    <row r="41" spans="1:9" ht="14.5" customHeight="1" x14ac:dyDescent="0.2">
      <c r="A41" s="371"/>
      <c r="B41" s="368" t="s">
        <v>506</v>
      </c>
    </row>
    <row r="42" spans="1:9" ht="14.5" customHeight="1" x14ac:dyDescent="0.2">
      <c r="A42" s="367">
        <v>14</v>
      </c>
      <c r="B42" s="368" t="s">
        <v>507</v>
      </c>
    </row>
    <row r="43" spans="1:9" ht="14.5" customHeight="1" x14ac:dyDescent="0.2">
      <c r="A43" s="371"/>
      <c r="B43" s="368" t="s">
        <v>508</v>
      </c>
      <c r="I43" s="369" t="s">
        <v>509</v>
      </c>
    </row>
    <row r="44" spans="1:9" ht="14.5" customHeight="1" x14ac:dyDescent="0.2">
      <c r="A44" s="371"/>
      <c r="B44" s="368" t="s">
        <v>510</v>
      </c>
      <c r="I44" s="369" t="s">
        <v>610</v>
      </c>
    </row>
    <row r="45" spans="1:9" ht="14.5" customHeight="1" x14ac:dyDescent="0.2">
      <c r="A45" s="371"/>
      <c r="B45" s="368" t="s">
        <v>511</v>
      </c>
      <c r="I45" s="369" t="s">
        <v>477</v>
      </c>
    </row>
    <row r="46" spans="1:9" ht="14.5" customHeight="1" x14ac:dyDescent="0.2">
      <c r="A46" s="371"/>
      <c r="B46" s="368" t="s">
        <v>512</v>
      </c>
      <c r="I46" s="369" t="s">
        <v>502</v>
      </c>
    </row>
    <row r="47" spans="1:9" ht="14.5" customHeight="1" x14ac:dyDescent="0.2">
      <c r="A47" s="371"/>
      <c r="B47" s="368" t="s">
        <v>513</v>
      </c>
      <c r="I47" s="369" t="s">
        <v>509</v>
      </c>
    </row>
    <row r="48" spans="1:9" ht="14.5" customHeight="1" x14ac:dyDescent="0.2">
      <c r="A48" s="367">
        <v>15</v>
      </c>
      <c r="B48" s="368" t="s">
        <v>514</v>
      </c>
    </row>
    <row r="49" spans="1:9" ht="14.5" customHeight="1" x14ac:dyDescent="0.2">
      <c r="A49" s="371"/>
      <c r="B49" s="368" t="s">
        <v>515</v>
      </c>
    </row>
    <row r="50" spans="1:9" ht="14.5" customHeight="1" x14ac:dyDescent="0.2">
      <c r="A50" s="371"/>
      <c r="B50" s="368" t="s">
        <v>516</v>
      </c>
    </row>
    <row r="51" spans="1:9" ht="14.5" customHeight="1" x14ac:dyDescent="0.2">
      <c r="A51" s="371"/>
      <c r="B51" s="368" t="s">
        <v>517</v>
      </c>
    </row>
    <row r="52" spans="1:9" ht="14.5" customHeight="1" x14ac:dyDescent="0.2">
      <c r="A52" s="371"/>
      <c r="B52" s="368" t="s">
        <v>518</v>
      </c>
    </row>
    <row r="53" spans="1:9" ht="14.5" customHeight="1" x14ac:dyDescent="0.2">
      <c r="A53" s="371"/>
      <c r="B53" s="368" t="s">
        <v>519</v>
      </c>
      <c r="I53" s="369"/>
    </row>
    <row r="54" spans="1:9" ht="14.5" customHeight="1" x14ac:dyDescent="0.2">
      <c r="A54" s="371"/>
      <c r="I54" s="369" t="s">
        <v>467</v>
      </c>
    </row>
    <row r="55" spans="1:9" ht="14.5" customHeight="1" x14ac:dyDescent="0.2">
      <c r="A55" s="386">
        <v>16</v>
      </c>
      <c r="B55" s="368" t="s">
        <v>611</v>
      </c>
      <c r="I55" s="369"/>
    </row>
    <row r="56" spans="1:9" x14ac:dyDescent="0.2">
      <c r="B56" s="368" t="s">
        <v>612</v>
      </c>
    </row>
    <row r="57" spans="1:9" x14ac:dyDescent="0.2">
      <c r="B57" s="368" t="s">
        <v>613</v>
      </c>
      <c r="I57" s="369" t="s">
        <v>467</v>
      </c>
    </row>
  </sheetData>
  <phoneticPr fontI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46"/>
  <sheetViews>
    <sheetView workbookViewId="0">
      <selection sqref="A1:L2"/>
    </sheetView>
    <sheetView workbookViewId="1">
      <selection sqref="A1:L2"/>
    </sheetView>
  </sheetViews>
  <sheetFormatPr defaultColWidth="8.7265625" defaultRowHeight="13" x14ac:dyDescent="0.2"/>
  <sheetData>
    <row r="1" spans="1:12" x14ac:dyDescent="0.2">
      <c r="A1" s="632" t="s">
        <v>1080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</row>
    <row r="2" spans="1:12" x14ac:dyDescent="0.2">
      <c r="A2" s="632"/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2" ht="16.5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2">
      <c r="B4" s="10" t="s">
        <v>614</v>
      </c>
      <c r="I4" s="583" t="s">
        <v>615</v>
      </c>
      <c r="J4" s="583"/>
      <c r="K4" s="583"/>
      <c r="L4" s="583"/>
    </row>
    <row r="5" spans="1:12" x14ac:dyDescent="0.2">
      <c r="I5" s="633"/>
      <c r="J5" s="633"/>
      <c r="K5" s="633"/>
      <c r="L5" s="633"/>
    </row>
    <row r="6" spans="1:12" x14ac:dyDescent="0.2">
      <c r="B6" s="10" t="s">
        <v>616</v>
      </c>
      <c r="I6" s="634" t="s">
        <v>617</v>
      </c>
      <c r="J6" s="634"/>
      <c r="K6" s="634"/>
      <c r="L6" s="634"/>
    </row>
    <row r="7" spans="1:12" x14ac:dyDescent="0.2">
      <c r="I7" s="633"/>
      <c r="J7" s="633"/>
      <c r="K7" s="633"/>
      <c r="L7" s="633"/>
    </row>
    <row r="8" spans="1:12" x14ac:dyDescent="0.2">
      <c r="B8" t="s">
        <v>618</v>
      </c>
      <c r="E8" s="10" t="s">
        <v>619</v>
      </c>
    </row>
    <row r="10" spans="1:12" x14ac:dyDescent="0.2">
      <c r="A10" s="10" t="s">
        <v>620</v>
      </c>
    </row>
    <row r="12" spans="1:12" ht="13.15" customHeight="1" x14ac:dyDescent="0.2">
      <c r="B12" s="387" t="s">
        <v>621</v>
      </c>
      <c r="C12" s="629" t="s">
        <v>622</v>
      </c>
      <c r="D12" s="629"/>
      <c r="E12" s="629" t="s">
        <v>623</v>
      </c>
      <c r="F12" s="629"/>
      <c r="G12" s="629"/>
      <c r="H12" s="629"/>
      <c r="I12" s="629"/>
      <c r="J12" s="629" t="s">
        <v>624</v>
      </c>
      <c r="K12" s="630"/>
      <c r="L12" s="630"/>
    </row>
    <row r="13" spans="1:12" ht="25.9" customHeight="1" x14ac:dyDescent="0.2">
      <c r="B13" s="388"/>
      <c r="C13" s="627" t="s">
        <v>625</v>
      </c>
      <c r="D13" s="628"/>
      <c r="E13" s="629" t="s">
        <v>626</v>
      </c>
      <c r="F13" s="630"/>
      <c r="G13" s="629" t="s">
        <v>627</v>
      </c>
      <c r="H13" s="630"/>
      <c r="I13" s="630"/>
      <c r="J13" s="614"/>
      <c r="K13" s="614"/>
      <c r="L13" s="614"/>
    </row>
    <row r="15" spans="1:12" x14ac:dyDescent="0.2">
      <c r="A15" s="10" t="s">
        <v>628</v>
      </c>
    </row>
    <row r="17" spans="1:12" ht="13.15" customHeight="1" x14ac:dyDescent="0.2">
      <c r="B17" s="387" t="s">
        <v>621</v>
      </c>
      <c r="C17" s="629" t="s">
        <v>622</v>
      </c>
      <c r="D17" s="629"/>
      <c r="E17" s="629" t="s">
        <v>623</v>
      </c>
      <c r="F17" s="629"/>
      <c r="G17" s="629"/>
      <c r="H17" s="629"/>
      <c r="I17" s="629"/>
      <c r="J17" s="629" t="s">
        <v>624</v>
      </c>
      <c r="K17" s="630"/>
      <c r="L17" s="630"/>
    </row>
    <row r="18" spans="1:12" ht="25.9" customHeight="1" x14ac:dyDescent="0.2">
      <c r="B18" s="388"/>
      <c r="C18" s="627" t="s">
        <v>625</v>
      </c>
      <c r="D18" s="628"/>
      <c r="E18" s="629" t="s">
        <v>626</v>
      </c>
      <c r="F18" s="630"/>
      <c r="G18" s="629" t="s">
        <v>627</v>
      </c>
      <c r="H18" s="630"/>
      <c r="I18" s="630"/>
      <c r="J18" s="614"/>
      <c r="K18" s="614"/>
      <c r="L18" s="614"/>
    </row>
    <row r="19" spans="1:12" x14ac:dyDescent="0.2">
      <c r="B19" s="388"/>
      <c r="C19" s="631" t="s">
        <v>629</v>
      </c>
      <c r="D19" s="614"/>
      <c r="E19" s="614"/>
      <c r="F19" s="614"/>
      <c r="G19" s="614"/>
      <c r="H19" s="631" t="s">
        <v>630</v>
      </c>
      <c r="I19" s="614"/>
      <c r="J19" s="614"/>
      <c r="K19" s="614"/>
      <c r="L19" s="614"/>
    </row>
    <row r="20" spans="1:12" ht="26.5" customHeight="1" x14ac:dyDescent="0.2">
      <c r="B20" s="389" t="s">
        <v>145</v>
      </c>
      <c r="C20" s="614"/>
      <c r="D20" s="614"/>
      <c r="E20" s="614"/>
      <c r="F20" s="614"/>
      <c r="G20" s="614"/>
      <c r="H20" s="614"/>
      <c r="I20" s="614"/>
      <c r="J20" s="614"/>
      <c r="K20" s="614"/>
      <c r="L20" s="614"/>
    </row>
    <row r="21" spans="1:12" ht="26.5" customHeight="1" x14ac:dyDescent="0.2">
      <c r="B21" s="389" t="s">
        <v>53</v>
      </c>
      <c r="C21" s="614"/>
      <c r="D21" s="614"/>
      <c r="E21" s="614"/>
      <c r="F21" s="614"/>
      <c r="G21" s="614"/>
      <c r="H21" s="614"/>
      <c r="I21" s="614"/>
      <c r="J21" s="614"/>
      <c r="K21" s="614"/>
      <c r="L21" s="614"/>
    </row>
    <row r="22" spans="1:12" ht="26.5" customHeight="1" x14ac:dyDescent="0.2">
      <c r="B22" s="390" t="s">
        <v>631</v>
      </c>
      <c r="C22" s="614"/>
      <c r="D22" s="614"/>
      <c r="E22" s="614"/>
      <c r="F22" s="614"/>
      <c r="G22" s="614"/>
      <c r="H22" s="614"/>
      <c r="I22" s="614"/>
      <c r="J22" s="614"/>
      <c r="K22" s="614"/>
      <c r="L22" s="614"/>
    </row>
    <row r="23" spans="1:12" ht="26.5" customHeight="1" x14ac:dyDescent="0.2">
      <c r="B23" s="390" t="s">
        <v>632</v>
      </c>
      <c r="C23" s="614"/>
      <c r="D23" s="614"/>
      <c r="E23" s="614"/>
      <c r="F23" s="614"/>
      <c r="G23" s="614"/>
      <c r="H23" s="614"/>
      <c r="I23" s="614"/>
      <c r="J23" s="614"/>
      <c r="K23" s="614"/>
      <c r="L23" s="614"/>
    </row>
    <row r="24" spans="1:12" ht="26.5" customHeight="1" x14ac:dyDescent="0.2">
      <c r="B24" s="389" t="s">
        <v>18</v>
      </c>
      <c r="C24" s="614"/>
      <c r="D24" s="614"/>
      <c r="E24" s="614"/>
      <c r="F24" s="614"/>
      <c r="G24" s="614"/>
      <c r="H24" s="614"/>
      <c r="I24" s="614"/>
      <c r="J24" s="614"/>
      <c r="K24" s="614"/>
      <c r="L24" s="614"/>
    </row>
    <row r="25" spans="1:12" ht="26.5" customHeight="1" x14ac:dyDescent="0.2">
      <c r="B25" s="389" t="s">
        <v>633</v>
      </c>
      <c r="C25" s="614"/>
      <c r="D25" s="614"/>
      <c r="E25" s="614"/>
      <c r="F25" s="614"/>
      <c r="G25" s="614"/>
      <c r="H25" s="614"/>
      <c r="I25" s="614"/>
      <c r="J25" s="614"/>
      <c r="K25" s="614"/>
      <c r="L25" s="614"/>
    </row>
    <row r="26" spans="1:12" ht="26.5" customHeight="1" x14ac:dyDescent="0.2">
      <c r="B26" s="389" t="s">
        <v>633</v>
      </c>
      <c r="C26" s="614"/>
      <c r="D26" s="614"/>
      <c r="E26" s="614"/>
      <c r="F26" s="614"/>
      <c r="G26" s="614"/>
      <c r="H26" s="614"/>
      <c r="I26" s="614"/>
      <c r="J26" s="614"/>
      <c r="K26" s="614"/>
      <c r="L26" s="614"/>
    </row>
    <row r="27" spans="1:12" ht="13.5" customHeight="1" x14ac:dyDescent="0.2">
      <c r="B27" s="14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3.5" customHeight="1" x14ac:dyDescent="0.2">
      <c r="A28" t="s">
        <v>634</v>
      </c>
      <c r="B28" s="14"/>
      <c r="C28" s="1"/>
      <c r="D28" s="1"/>
      <c r="E28" s="1"/>
      <c r="F28" s="1"/>
      <c r="G28" s="1"/>
      <c r="H28" s="1"/>
      <c r="I28" s="1"/>
      <c r="J28" s="1"/>
      <c r="K28" s="1"/>
      <c r="L28" s="1"/>
    </row>
    <row r="30" spans="1:12" ht="13.15" customHeight="1" x14ac:dyDescent="0.2">
      <c r="B30" s="387" t="s">
        <v>621</v>
      </c>
      <c r="C30" s="629" t="s">
        <v>622</v>
      </c>
      <c r="D30" s="629"/>
      <c r="E30" s="629" t="s">
        <v>623</v>
      </c>
      <c r="F30" s="629"/>
      <c r="G30" s="629"/>
      <c r="H30" s="629"/>
      <c r="I30" s="629"/>
      <c r="J30" s="629" t="s">
        <v>624</v>
      </c>
      <c r="K30" s="630"/>
      <c r="L30" s="630"/>
    </row>
    <row r="31" spans="1:12" ht="25.9" customHeight="1" x14ac:dyDescent="0.2">
      <c r="B31" s="388"/>
      <c r="C31" s="627" t="s">
        <v>625</v>
      </c>
      <c r="D31" s="628"/>
      <c r="E31" s="629" t="s">
        <v>626</v>
      </c>
      <c r="F31" s="630"/>
      <c r="G31" s="629" t="s">
        <v>627</v>
      </c>
      <c r="H31" s="630"/>
      <c r="I31" s="630"/>
      <c r="J31" s="614"/>
      <c r="K31" s="614"/>
      <c r="L31" s="614"/>
    </row>
    <row r="33" spans="1:12" x14ac:dyDescent="0.2">
      <c r="B33" t="s">
        <v>635</v>
      </c>
      <c r="F33" t="s">
        <v>636</v>
      </c>
      <c r="J33" s="391" t="s">
        <v>637</v>
      </c>
      <c r="K33" s="392"/>
      <c r="L33" s="393"/>
    </row>
    <row r="34" spans="1:12" x14ac:dyDescent="0.2">
      <c r="B34" s="394"/>
      <c r="C34" s="152"/>
      <c r="D34" s="152"/>
      <c r="F34" s="394"/>
      <c r="G34" s="152"/>
      <c r="H34" s="152"/>
      <c r="J34" s="615" t="s">
        <v>638</v>
      </c>
      <c r="K34" s="616"/>
      <c r="L34" s="617"/>
    </row>
    <row r="35" spans="1:12" x14ac:dyDescent="0.2">
      <c r="B35" s="145"/>
      <c r="D35" s="623"/>
      <c r="F35" s="145"/>
      <c r="H35" s="623"/>
      <c r="J35" s="618"/>
      <c r="K35" s="582"/>
      <c r="L35" s="619"/>
    </row>
    <row r="36" spans="1:12" x14ac:dyDescent="0.2">
      <c r="B36" s="147"/>
      <c r="C36" s="395"/>
      <c r="D36" s="623"/>
      <c r="F36" s="147"/>
      <c r="G36" s="395"/>
      <c r="H36" s="623"/>
      <c r="J36" s="620"/>
      <c r="K36" s="621"/>
      <c r="L36" s="622"/>
    </row>
    <row r="38" spans="1:12" x14ac:dyDescent="0.2">
      <c r="A38" t="s">
        <v>639</v>
      </c>
    </row>
    <row r="40" spans="1:12" ht="91.5" customHeight="1" x14ac:dyDescent="0.2">
      <c r="B40" s="624"/>
      <c r="C40" s="625"/>
      <c r="D40" s="625"/>
      <c r="E40" s="625"/>
      <c r="F40" s="625"/>
      <c r="G40" s="625"/>
      <c r="H40" s="625"/>
      <c r="I40" s="625"/>
      <c r="J40" s="625"/>
      <c r="K40" s="625"/>
      <c r="L40" s="626"/>
    </row>
    <row r="41" spans="1:12" ht="13.5" thickBot="1" x14ac:dyDescent="0.25"/>
    <row r="42" spans="1:12" x14ac:dyDescent="0.2">
      <c r="A42" s="396"/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</row>
    <row r="43" spans="1:12" x14ac:dyDescent="0.2">
      <c r="A43" s="397" t="s">
        <v>640</v>
      </c>
      <c r="C43" s="624" t="s">
        <v>641</v>
      </c>
      <c r="D43" s="625"/>
      <c r="E43" s="625"/>
      <c r="F43" s="625"/>
      <c r="G43" s="626"/>
      <c r="I43" s="614" t="s">
        <v>642</v>
      </c>
      <c r="J43" s="614"/>
      <c r="K43" s="614" t="s">
        <v>643</v>
      </c>
      <c r="L43" s="614"/>
    </row>
    <row r="44" spans="1:12" x14ac:dyDescent="0.2">
      <c r="A44" s="398"/>
      <c r="C44" s="394"/>
      <c r="D44" s="152"/>
      <c r="E44" s="152"/>
      <c r="F44" s="152"/>
      <c r="G44" s="383"/>
      <c r="I44" s="614"/>
      <c r="J44" s="614"/>
      <c r="K44" s="614"/>
      <c r="L44" s="614"/>
    </row>
    <row r="45" spans="1:12" x14ac:dyDescent="0.2">
      <c r="A45" s="399"/>
      <c r="C45" s="400" t="s">
        <v>1081</v>
      </c>
      <c r="D45" s="401" t="s">
        <v>1082</v>
      </c>
      <c r="E45" s="401" t="s">
        <v>644</v>
      </c>
      <c r="F45" s="401" t="s">
        <v>645</v>
      </c>
      <c r="G45" s="402" t="s">
        <v>646</v>
      </c>
      <c r="I45" s="614"/>
      <c r="J45" s="614"/>
      <c r="K45" s="614"/>
      <c r="L45" s="614"/>
    </row>
    <row r="46" spans="1:12" x14ac:dyDescent="0.2">
      <c r="A46" s="403"/>
      <c r="C46" s="147"/>
      <c r="D46" s="395"/>
      <c r="E46" s="395"/>
      <c r="F46" s="395"/>
      <c r="G46" s="148"/>
      <c r="I46" s="614"/>
      <c r="J46" s="614"/>
      <c r="K46" s="614"/>
      <c r="L46" s="614"/>
    </row>
  </sheetData>
  <mergeCells count="49">
    <mergeCell ref="A1:L2"/>
    <mergeCell ref="I4:L5"/>
    <mergeCell ref="I6:L7"/>
    <mergeCell ref="C12:D12"/>
    <mergeCell ref="E12:I12"/>
    <mergeCell ref="J12:L12"/>
    <mergeCell ref="C13:D13"/>
    <mergeCell ref="E13:F13"/>
    <mergeCell ref="G13:I13"/>
    <mergeCell ref="J13:L13"/>
    <mergeCell ref="C17:D17"/>
    <mergeCell ref="E17:I17"/>
    <mergeCell ref="J17:L17"/>
    <mergeCell ref="C18:D18"/>
    <mergeCell ref="E18:F18"/>
    <mergeCell ref="G18:I18"/>
    <mergeCell ref="J18:L18"/>
    <mergeCell ref="C19:G19"/>
    <mergeCell ref="H19:L19"/>
    <mergeCell ref="C20:G20"/>
    <mergeCell ref="H20:L20"/>
    <mergeCell ref="C21:G21"/>
    <mergeCell ref="H21:L21"/>
    <mergeCell ref="C22:G22"/>
    <mergeCell ref="H22:L22"/>
    <mergeCell ref="C31:D31"/>
    <mergeCell ref="E31:F31"/>
    <mergeCell ref="G31:I31"/>
    <mergeCell ref="J31:L31"/>
    <mergeCell ref="C23:G23"/>
    <mergeCell ref="H23:L23"/>
    <mergeCell ref="C24:G24"/>
    <mergeCell ref="H24:L24"/>
    <mergeCell ref="C25:G25"/>
    <mergeCell ref="H25:L25"/>
    <mergeCell ref="C26:G26"/>
    <mergeCell ref="H26:L26"/>
    <mergeCell ref="C30:D30"/>
    <mergeCell ref="E30:I30"/>
    <mergeCell ref="J30:L30"/>
    <mergeCell ref="I44:J46"/>
    <mergeCell ref="K44:L46"/>
    <mergeCell ref="J34:L36"/>
    <mergeCell ref="D35:D36"/>
    <mergeCell ref="H35:H36"/>
    <mergeCell ref="B40:L40"/>
    <mergeCell ref="C43:G43"/>
    <mergeCell ref="I43:J43"/>
    <mergeCell ref="K43:L4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2"/>
  <sheetViews>
    <sheetView zoomScale="85" zoomScaleNormal="85" workbookViewId="0">
      <selection activeCell="A3" sqref="A3"/>
    </sheetView>
    <sheetView workbookViewId="1">
      <selection activeCell="I22" sqref="I22"/>
    </sheetView>
  </sheetViews>
  <sheetFormatPr defaultColWidth="13" defaultRowHeight="13" x14ac:dyDescent="0.2"/>
  <cols>
    <col min="1" max="1" width="10.08984375" style="15" customWidth="1"/>
    <col min="2" max="2" width="14.08984375" style="15" customWidth="1"/>
    <col min="3" max="3" width="42.08984375" style="15" customWidth="1"/>
    <col min="4" max="4" width="25.08984375" style="15" customWidth="1"/>
    <col min="5" max="5" width="9" style="15" customWidth="1"/>
    <col min="6" max="7" width="13" customWidth="1"/>
    <col min="8" max="16384" width="13" style="15"/>
  </cols>
  <sheetData>
    <row r="1" spans="1:7" ht="18" customHeight="1" thickBot="1" x14ac:dyDescent="0.25">
      <c r="A1" s="527" t="s">
        <v>170</v>
      </c>
      <c r="B1" s="527"/>
      <c r="C1" s="527"/>
      <c r="D1" s="527"/>
      <c r="E1" s="124"/>
    </row>
    <row r="2" spans="1:7" ht="21.75" customHeight="1" thickBot="1" x14ac:dyDescent="0.25">
      <c r="A2" s="528" t="s">
        <v>1278</v>
      </c>
      <c r="B2" s="529"/>
      <c r="C2" s="529"/>
      <c r="D2" s="530"/>
      <c r="F2" s="231"/>
      <c r="G2" s="231"/>
    </row>
    <row r="3" spans="1:7" ht="21.75" customHeight="1" thickBot="1" x14ac:dyDescent="0.25">
      <c r="A3" s="125" t="s">
        <v>171</v>
      </c>
      <c r="B3" s="126" t="s">
        <v>172</v>
      </c>
      <c r="C3" s="127" t="s">
        <v>173</v>
      </c>
      <c r="D3" s="197" t="s">
        <v>416</v>
      </c>
      <c r="F3" s="377" t="s">
        <v>523</v>
      </c>
      <c r="G3" s="377" t="s">
        <v>524</v>
      </c>
    </row>
    <row r="4" spans="1:7" ht="21.75" customHeight="1" thickTop="1" x14ac:dyDescent="0.2">
      <c r="A4" s="128">
        <v>1</v>
      </c>
      <c r="B4" s="129">
        <v>0.5</v>
      </c>
      <c r="C4" s="181" t="s">
        <v>382</v>
      </c>
      <c r="D4" s="182" t="s">
        <v>417</v>
      </c>
      <c r="F4" s="378" t="s">
        <v>1089</v>
      </c>
      <c r="G4" s="378" t="s">
        <v>1096</v>
      </c>
    </row>
    <row r="5" spans="1:7" ht="21.75" customHeight="1" x14ac:dyDescent="0.2">
      <c r="A5" s="132">
        <v>2</v>
      </c>
      <c r="B5" s="133">
        <v>0.50555555555555554</v>
      </c>
      <c r="C5" s="181" t="s">
        <v>383</v>
      </c>
      <c r="D5" s="182" t="s">
        <v>418</v>
      </c>
      <c r="F5" s="378" t="s">
        <v>1090</v>
      </c>
      <c r="G5" s="378" t="s">
        <v>1097</v>
      </c>
    </row>
    <row r="6" spans="1:7" ht="21.75" customHeight="1" x14ac:dyDescent="0.2">
      <c r="A6" s="132">
        <v>3</v>
      </c>
      <c r="B6" s="133">
        <v>0.51111111111111096</v>
      </c>
      <c r="C6" s="181" t="s">
        <v>63</v>
      </c>
      <c r="D6" s="182" t="s">
        <v>419</v>
      </c>
      <c r="F6" s="378" t="s">
        <v>525</v>
      </c>
      <c r="G6" s="378" t="s">
        <v>1088</v>
      </c>
    </row>
    <row r="7" spans="1:7" ht="21.75" customHeight="1" x14ac:dyDescent="0.2">
      <c r="A7" s="132">
        <v>4</v>
      </c>
      <c r="B7" s="133">
        <v>0.51666666666666705</v>
      </c>
      <c r="C7" s="130" t="s">
        <v>63</v>
      </c>
      <c r="D7" s="182" t="s">
        <v>420</v>
      </c>
      <c r="F7" s="378"/>
      <c r="G7" s="378"/>
    </row>
    <row r="8" spans="1:7" ht="21.75" customHeight="1" x14ac:dyDescent="0.2">
      <c r="A8" s="132">
        <v>5</v>
      </c>
      <c r="B8" s="133">
        <v>0.52222222222222203</v>
      </c>
      <c r="C8" s="130" t="s">
        <v>63</v>
      </c>
      <c r="D8" s="182" t="s">
        <v>421</v>
      </c>
      <c r="F8" s="378"/>
      <c r="G8" s="378"/>
    </row>
    <row r="9" spans="1:7" ht="21.75" customHeight="1" x14ac:dyDescent="0.2">
      <c r="A9" s="132">
        <v>6</v>
      </c>
      <c r="B9" s="133">
        <v>0.52777777777777801</v>
      </c>
      <c r="C9" s="181" t="s">
        <v>63</v>
      </c>
      <c r="D9" s="182" t="s">
        <v>598</v>
      </c>
      <c r="F9" s="378"/>
      <c r="G9" s="378"/>
    </row>
    <row r="10" spans="1:7" ht="21.75" customHeight="1" x14ac:dyDescent="0.2">
      <c r="A10" s="132">
        <v>7</v>
      </c>
      <c r="B10" s="133">
        <v>0.53333333333333299</v>
      </c>
      <c r="C10" s="181" t="s">
        <v>63</v>
      </c>
      <c r="D10" s="182" t="s">
        <v>1087</v>
      </c>
      <c r="F10" s="378"/>
      <c r="G10" s="378"/>
    </row>
    <row r="11" spans="1:7" ht="21.75" customHeight="1" x14ac:dyDescent="0.2">
      <c r="A11" s="132">
        <v>8</v>
      </c>
      <c r="B11" s="133">
        <v>0.53888888888888897</v>
      </c>
      <c r="C11" s="181" t="s">
        <v>62</v>
      </c>
      <c r="D11" s="182" t="s">
        <v>417</v>
      </c>
      <c r="F11" s="378"/>
      <c r="G11" s="378"/>
    </row>
    <row r="12" spans="1:7" ht="21.75" customHeight="1" x14ac:dyDescent="0.2">
      <c r="A12" s="132">
        <v>9</v>
      </c>
      <c r="B12" s="133">
        <v>0.54444444444444395</v>
      </c>
      <c r="C12" s="181" t="s">
        <v>62</v>
      </c>
      <c r="D12" s="182" t="s">
        <v>418</v>
      </c>
      <c r="F12" s="378"/>
      <c r="G12" s="378"/>
    </row>
    <row r="13" spans="1:7" ht="21.75" customHeight="1" x14ac:dyDescent="0.2">
      <c r="A13" s="132">
        <v>10</v>
      </c>
      <c r="B13" s="133">
        <v>0.55000000000000004</v>
      </c>
      <c r="C13" s="181" t="s">
        <v>62</v>
      </c>
      <c r="D13" s="182" t="s">
        <v>419</v>
      </c>
      <c r="F13" s="378"/>
      <c r="G13" s="378"/>
    </row>
    <row r="14" spans="1:7" ht="21.75" customHeight="1" x14ac:dyDescent="0.2">
      <c r="A14" s="132">
        <v>11</v>
      </c>
      <c r="B14" s="133">
        <v>0.55555555555555503</v>
      </c>
      <c r="C14" s="181" t="s">
        <v>65</v>
      </c>
      <c r="D14" s="182" t="s">
        <v>450</v>
      </c>
      <c r="F14" s="378"/>
      <c r="G14" s="378"/>
    </row>
    <row r="15" spans="1:7" ht="21.75" customHeight="1" x14ac:dyDescent="0.2">
      <c r="A15" s="132">
        <v>12</v>
      </c>
      <c r="B15" s="133">
        <v>0.56111111111111101</v>
      </c>
      <c r="C15" s="181" t="s">
        <v>64</v>
      </c>
      <c r="D15" s="182" t="s">
        <v>417</v>
      </c>
      <c r="F15" s="378"/>
      <c r="G15" s="378"/>
    </row>
    <row r="16" spans="1:7" ht="21.75" customHeight="1" x14ac:dyDescent="0.2">
      <c r="A16" s="132">
        <v>13</v>
      </c>
      <c r="B16" s="133">
        <v>0.56666666666666599</v>
      </c>
      <c r="C16" s="181" t="s">
        <v>64</v>
      </c>
      <c r="D16" s="182" t="s">
        <v>418</v>
      </c>
      <c r="F16" s="378"/>
      <c r="G16" s="378"/>
    </row>
    <row r="17" spans="1:7" ht="21.75" customHeight="1" x14ac:dyDescent="0.2">
      <c r="A17" s="199"/>
      <c r="B17" s="200"/>
      <c r="C17" s="201"/>
      <c r="D17" s="202"/>
      <c r="F17" s="377" t="s">
        <v>523</v>
      </c>
      <c r="G17" s="377" t="s">
        <v>524</v>
      </c>
    </row>
    <row r="18" spans="1:7" ht="21.75" customHeight="1" x14ac:dyDescent="0.2">
      <c r="A18" s="132">
        <v>14</v>
      </c>
      <c r="B18" s="133">
        <v>0.625</v>
      </c>
      <c r="C18" s="183" t="s">
        <v>63</v>
      </c>
      <c r="D18" s="182" t="s">
        <v>1091</v>
      </c>
      <c r="F18" s="378" t="s">
        <v>1106</v>
      </c>
      <c r="G18" s="378" t="s">
        <v>1102</v>
      </c>
    </row>
    <row r="19" spans="1:7" ht="21.75" customHeight="1" x14ac:dyDescent="0.2">
      <c r="A19" s="132">
        <v>15</v>
      </c>
      <c r="B19" s="133">
        <v>0.63055555555555554</v>
      </c>
      <c r="C19" s="139" t="s">
        <v>63</v>
      </c>
      <c r="D19" s="182" t="s">
        <v>1092</v>
      </c>
      <c r="F19" s="378" t="s">
        <v>1100</v>
      </c>
      <c r="G19" s="378" t="s">
        <v>1103</v>
      </c>
    </row>
    <row r="20" spans="1:7" ht="21.75" customHeight="1" x14ac:dyDescent="0.2">
      <c r="A20" s="132">
        <v>16</v>
      </c>
      <c r="B20" s="133">
        <v>0.63611111111111096</v>
      </c>
      <c r="C20" s="183" t="s">
        <v>63</v>
      </c>
      <c r="D20" s="182" t="s">
        <v>1093</v>
      </c>
      <c r="F20" s="378" t="s">
        <v>1101</v>
      </c>
      <c r="G20" s="378" t="s">
        <v>1104</v>
      </c>
    </row>
    <row r="21" spans="1:7" ht="21.75" customHeight="1" x14ac:dyDescent="0.2">
      <c r="A21" s="132">
        <v>17</v>
      </c>
      <c r="B21" s="133">
        <v>0.64166666666666705</v>
      </c>
      <c r="C21" s="139" t="s">
        <v>63</v>
      </c>
      <c r="D21" s="182" t="s">
        <v>1094</v>
      </c>
      <c r="F21" s="378"/>
      <c r="G21" s="378"/>
    </row>
    <row r="22" spans="1:7" ht="21.75" customHeight="1" x14ac:dyDescent="0.2">
      <c r="A22" s="132">
        <v>18</v>
      </c>
      <c r="B22" s="133">
        <v>0.64722222222222203</v>
      </c>
      <c r="C22" s="181" t="s">
        <v>63</v>
      </c>
      <c r="D22" s="182" t="s">
        <v>1095</v>
      </c>
      <c r="F22" s="378"/>
      <c r="G22" s="378"/>
    </row>
    <row r="23" spans="1:7" ht="21.75" customHeight="1" x14ac:dyDescent="0.2">
      <c r="A23" s="132">
        <v>19</v>
      </c>
      <c r="B23" s="133">
        <v>0.65277777777777801</v>
      </c>
      <c r="C23" s="181" t="s">
        <v>62</v>
      </c>
      <c r="D23" s="182" t="s">
        <v>1209</v>
      </c>
      <c r="F23" s="378"/>
      <c r="G23" s="378"/>
    </row>
    <row r="24" spans="1:7" ht="21.75" customHeight="1" x14ac:dyDescent="0.2">
      <c r="A24" s="132">
        <v>20</v>
      </c>
      <c r="B24" s="133">
        <v>0.65833333333333299</v>
      </c>
      <c r="C24" s="181" t="s">
        <v>62</v>
      </c>
      <c r="D24" s="182" t="s">
        <v>1210</v>
      </c>
      <c r="F24" s="378"/>
      <c r="G24" s="378"/>
    </row>
    <row r="25" spans="1:7" ht="21.75" customHeight="1" x14ac:dyDescent="0.2">
      <c r="A25" s="132">
        <v>21</v>
      </c>
      <c r="B25" s="133">
        <v>0.66388888888888897</v>
      </c>
      <c r="C25" s="181" t="s">
        <v>67</v>
      </c>
      <c r="D25" s="182" t="s">
        <v>450</v>
      </c>
      <c r="F25" s="378"/>
      <c r="G25" s="378"/>
    </row>
    <row r="26" spans="1:7" ht="21.75" customHeight="1" thickBot="1" x14ac:dyDescent="0.25">
      <c r="A26" s="132">
        <v>22</v>
      </c>
      <c r="B26" s="133">
        <v>0.66944444444444395</v>
      </c>
      <c r="C26" s="181" t="s">
        <v>66</v>
      </c>
      <c r="D26" s="182" t="s">
        <v>450</v>
      </c>
      <c r="F26" s="379"/>
      <c r="G26" s="379"/>
    </row>
    <row r="27" spans="1:7" ht="21.75" customHeight="1" thickBot="1" x14ac:dyDescent="0.25">
      <c r="A27" s="531" t="s">
        <v>1277</v>
      </c>
      <c r="B27" s="532"/>
      <c r="C27" s="532"/>
      <c r="D27" s="533"/>
      <c r="F27" s="231"/>
      <c r="G27" s="231"/>
    </row>
    <row r="28" spans="1:7" ht="21.75" customHeight="1" thickBot="1" x14ac:dyDescent="0.25">
      <c r="A28" s="125" t="s">
        <v>174</v>
      </c>
      <c r="B28" s="122" t="s">
        <v>172</v>
      </c>
      <c r="C28" s="121" t="s">
        <v>173</v>
      </c>
      <c r="D28" s="197" t="s">
        <v>416</v>
      </c>
      <c r="F28" s="377" t="s">
        <v>523</v>
      </c>
      <c r="G28" s="377" t="s">
        <v>524</v>
      </c>
    </row>
    <row r="29" spans="1:7" ht="21.75" customHeight="1" thickTop="1" x14ac:dyDescent="0.2">
      <c r="A29" s="132">
        <v>23</v>
      </c>
      <c r="B29" s="133">
        <v>0.375</v>
      </c>
      <c r="C29" s="183" t="s">
        <v>62</v>
      </c>
      <c r="D29" s="182" t="s">
        <v>443</v>
      </c>
      <c r="F29" s="378" t="s">
        <v>1099</v>
      </c>
      <c r="G29" s="378" t="s">
        <v>1109</v>
      </c>
    </row>
    <row r="30" spans="1:7" ht="21.75" customHeight="1" x14ac:dyDescent="0.2">
      <c r="A30" s="132">
        <v>24</v>
      </c>
      <c r="B30" s="133">
        <v>0.38055555555555554</v>
      </c>
      <c r="C30" s="183" t="s">
        <v>62</v>
      </c>
      <c r="D30" s="182" t="s">
        <v>444</v>
      </c>
      <c r="F30" s="378" t="s">
        <v>1108</v>
      </c>
      <c r="G30" s="378" t="s">
        <v>1110</v>
      </c>
    </row>
    <row r="31" spans="1:7" ht="21.75" customHeight="1" x14ac:dyDescent="0.2">
      <c r="A31" s="132">
        <v>25</v>
      </c>
      <c r="B31" s="133">
        <v>0.38611111111111102</v>
      </c>
      <c r="C31" s="139" t="s">
        <v>63</v>
      </c>
      <c r="D31" s="182" t="s">
        <v>1211</v>
      </c>
      <c r="F31" s="378" t="s">
        <v>1107</v>
      </c>
      <c r="G31" s="378" t="s">
        <v>1218</v>
      </c>
    </row>
    <row r="32" spans="1:7" ht="21.75" customHeight="1" x14ac:dyDescent="0.2">
      <c r="A32" s="132">
        <v>26</v>
      </c>
      <c r="B32" s="133">
        <v>0.391666666666667</v>
      </c>
      <c r="C32" s="139" t="s">
        <v>63</v>
      </c>
      <c r="D32" s="182" t="s">
        <v>1212</v>
      </c>
      <c r="F32" s="378" t="s">
        <v>1101</v>
      </c>
      <c r="G32" s="378" t="s">
        <v>1105</v>
      </c>
    </row>
    <row r="33" spans="1:7" ht="21.75" customHeight="1" x14ac:dyDescent="0.2">
      <c r="A33" s="132">
        <v>27</v>
      </c>
      <c r="B33" s="133">
        <v>0.39722222222222198</v>
      </c>
      <c r="C33" s="139" t="s">
        <v>63</v>
      </c>
      <c r="D33" s="182" t="s">
        <v>1213</v>
      </c>
      <c r="F33" s="378"/>
      <c r="G33" s="378" t="s">
        <v>1111</v>
      </c>
    </row>
    <row r="34" spans="1:7" ht="21.75" customHeight="1" x14ac:dyDescent="0.2">
      <c r="A34" s="132">
        <v>28</v>
      </c>
      <c r="B34" s="133">
        <v>0.40277777777777801</v>
      </c>
      <c r="C34" s="139" t="s">
        <v>63</v>
      </c>
      <c r="D34" s="182" t="s">
        <v>1214</v>
      </c>
      <c r="F34" s="378"/>
      <c r="G34" s="378" t="s">
        <v>1219</v>
      </c>
    </row>
    <row r="35" spans="1:7" ht="21.75" customHeight="1" x14ac:dyDescent="0.2">
      <c r="A35" s="132">
        <v>29</v>
      </c>
      <c r="B35" s="133">
        <v>0.40833333333333299</v>
      </c>
      <c r="C35" s="139" t="s">
        <v>63</v>
      </c>
      <c r="D35" s="182" t="s">
        <v>1215</v>
      </c>
      <c r="F35" s="378"/>
      <c r="G35" s="378"/>
    </row>
    <row r="36" spans="1:7" ht="21.75" customHeight="1" x14ac:dyDescent="0.2">
      <c r="A36" s="132">
        <v>30</v>
      </c>
      <c r="B36" s="133">
        <v>0.41388888888888897</v>
      </c>
      <c r="C36" s="139" t="s">
        <v>63</v>
      </c>
      <c r="D36" s="182" t="s">
        <v>1216</v>
      </c>
      <c r="F36" s="378"/>
      <c r="G36" s="378"/>
    </row>
    <row r="37" spans="1:7" ht="21.75" customHeight="1" x14ac:dyDescent="0.2">
      <c r="A37" s="132">
        <v>31</v>
      </c>
      <c r="B37" s="133">
        <v>0.41944444444444401</v>
      </c>
      <c r="C37" s="183" t="s">
        <v>64</v>
      </c>
      <c r="D37" s="182" t="s">
        <v>599</v>
      </c>
      <c r="F37" s="378"/>
      <c r="G37" s="378"/>
    </row>
    <row r="38" spans="1:7" ht="21.75" customHeight="1" x14ac:dyDescent="0.2">
      <c r="A38" s="132">
        <v>32</v>
      </c>
      <c r="B38" s="133">
        <v>0.42499999999999999</v>
      </c>
      <c r="C38" s="183" t="s">
        <v>64</v>
      </c>
      <c r="D38" s="182" t="s">
        <v>600</v>
      </c>
      <c r="F38" s="379"/>
      <c r="G38" s="379"/>
    </row>
    <row r="39" spans="1:7" ht="21.75" customHeight="1" x14ac:dyDescent="0.2">
      <c r="A39" s="199"/>
      <c r="B39" s="200"/>
      <c r="C39" s="203" t="s">
        <v>49</v>
      </c>
      <c r="D39" s="204"/>
      <c r="F39" s="377" t="s">
        <v>523</v>
      </c>
      <c r="G39" s="377" t="s">
        <v>524</v>
      </c>
    </row>
    <row r="40" spans="1:7" ht="21.75" customHeight="1" x14ac:dyDescent="0.2">
      <c r="A40" s="132">
        <v>33</v>
      </c>
      <c r="B40" s="133">
        <v>0.5</v>
      </c>
      <c r="C40" s="139" t="s">
        <v>62</v>
      </c>
      <c r="D40" s="131" t="s">
        <v>68</v>
      </c>
      <c r="F40" s="378" t="s">
        <v>1112</v>
      </c>
      <c r="G40" s="378" t="s">
        <v>1112</v>
      </c>
    </row>
    <row r="41" spans="1:7" ht="21.75" customHeight="1" x14ac:dyDescent="0.2">
      <c r="A41" s="132">
        <v>34</v>
      </c>
      <c r="B41" s="133">
        <v>0.50694444444444442</v>
      </c>
      <c r="C41" s="139" t="s">
        <v>63</v>
      </c>
      <c r="D41" s="131" t="s">
        <v>68</v>
      </c>
      <c r="F41" s="378" t="s">
        <v>191</v>
      </c>
      <c r="G41" s="378" t="s">
        <v>1103</v>
      </c>
    </row>
    <row r="42" spans="1:7" ht="21.75" customHeight="1" x14ac:dyDescent="0.2">
      <c r="A42" s="132">
        <v>35</v>
      </c>
      <c r="B42" s="133">
        <v>0.51388888888888895</v>
      </c>
      <c r="C42" s="139" t="s">
        <v>65</v>
      </c>
      <c r="D42" s="131" t="s">
        <v>68</v>
      </c>
      <c r="F42" s="378" t="s">
        <v>1100</v>
      </c>
      <c r="G42" s="378" t="s">
        <v>1104</v>
      </c>
    </row>
    <row r="43" spans="1:7" ht="21.75" customHeight="1" x14ac:dyDescent="0.2">
      <c r="A43" s="132">
        <v>36</v>
      </c>
      <c r="B43" s="133">
        <v>0.52083333333333304</v>
      </c>
      <c r="C43" s="139" t="s">
        <v>64</v>
      </c>
      <c r="D43" s="131" t="s">
        <v>68</v>
      </c>
      <c r="F43" s="378" t="s">
        <v>1101</v>
      </c>
      <c r="G43" s="378"/>
    </row>
    <row r="44" spans="1:7" ht="21.75" customHeight="1" x14ac:dyDescent="0.2">
      <c r="A44" s="132">
        <v>37</v>
      </c>
      <c r="B44" s="133">
        <v>0.52777777777777801</v>
      </c>
      <c r="C44" s="139" t="s">
        <v>67</v>
      </c>
      <c r="D44" s="131" t="s">
        <v>68</v>
      </c>
      <c r="F44" s="378"/>
      <c r="G44" s="378"/>
    </row>
    <row r="45" spans="1:7" ht="21.75" customHeight="1" thickBot="1" x14ac:dyDescent="0.25">
      <c r="A45" s="134">
        <v>38</v>
      </c>
      <c r="B45" s="135">
        <v>0.53472222222222199</v>
      </c>
      <c r="C45" s="136" t="s">
        <v>66</v>
      </c>
      <c r="D45" s="137" t="s">
        <v>68</v>
      </c>
      <c r="F45" s="379"/>
      <c r="G45" s="379"/>
    </row>
    <row r="46" spans="1:7" ht="14.25" customHeight="1" x14ac:dyDescent="0.2">
      <c r="A46" s="14"/>
      <c r="B46" s="138"/>
      <c r="F46" s="231"/>
      <c r="G46" s="231"/>
    </row>
    <row r="47" spans="1:7" ht="21.75" customHeight="1" x14ac:dyDescent="0.2">
      <c r="A47" s="198" t="s">
        <v>175</v>
      </c>
      <c r="B47" s="198"/>
      <c r="C47" s="198"/>
      <c r="D47" s="198"/>
      <c r="F47" s="231"/>
      <c r="G47" s="231"/>
    </row>
    <row r="48" spans="1:7" ht="21.75" customHeight="1" x14ac:dyDescent="0.2">
      <c r="A48" s="198">
        <v>1</v>
      </c>
      <c r="B48" s="198" t="s">
        <v>176</v>
      </c>
      <c r="C48" s="198"/>
      <c r="D48" s="198"/>
      <c r="F48" s="231"/>
      <c r="G48" s="231"/>
    </row>
    <row r="49" spans="1:7" x14ac:dyDescent="0.2">
      <c r="A49" s="198"/>
      <c r="B49" s="198" t="s">
        <v>61</v>
      </c>
      <c r="C49" s="198"/>
      <c r="D49" s="198"/>
    </row>
    <row r="50" spans="1:7" x14ac:dyDescent="0.2">
      <c r="A50" s="198">
        <v>2</v>
      </c>
      <c r="B50" s="198" t="s">
        <v>177</v>
      </c>
      <c r="C50" s="198"/>
      <c r="D50" s="198"/>
    </row>
    <row r="51" spans="1:7" x14ac:dyDescent="0.2">
      <c r="A51" s="198"/>
      <c r="B51" s="198" t="s">
        <v>178</v>
      </c>
      <c r="C51" s="198"/>
      <c r="D51" s="198"/>
    </row>
    <row r="52" spans="1:7" ht="14" x14ac:dyDescent="0.2">
      <c r="A52" s="140"/>
    </row>
    <row r="53" spans="1:7" ht="14" x14ac:dyDescent="0.2">
      <c r="B53" s="140"/>
    </row>
    <row r="54" spans="1:7" s="140" customFormat="1" ht="18" customHeight="1" x14ac:dyDescent="0.2">
      <c r="A54" s="15"/>
      <c r="C54" s="15"/>
      <c r="D54" s="15"/>
      <c r="F54"/>
      <c r="G54"/>
    </row>
    <row r="55" spans="1:7" s="140" customFormat="1" ht="18" customHeight="1" x14ac:dyDescent="0.2">
      <c r="A55" s="15"/>
      <c r="C55" s="15"/>
      <c r="D55" s="15"/>
      <c r="F55"/>
      <c r="G55"/>
    </row>
    <row r="56" spans="1:7" s="140" customFormat="1" ht="18" customHeight="1" x14ac:dyDescent="0.2">
      <c r="A56" s="15"/>
      <c r="B56" s="15"/>
      <c r="C56" s="15"/>
      <c r="D56" s="15"/>
      <c r="F56"/>
      <c r="G56"/>
    </row>
    <row r="57" spans="1:7" s="140" customFormat="1" ht="18" customHeight="1" x14ac:dyDescent="0.2">
      <c r="A57" s="15"/>
      <c r="B57" s="15"/>
      <c r="C57" s="15"/>
      <c r="D57" s="15"/>
      <c r="F57"/>
      <c r="G57"/>
    </row>
    <row r="58" spans="1:7" s="140" customFormat="1" ht="18" customHeight="1" x14ac:dyDescent="0.2">
      <c r="A58" s="15"/>
      <c r="B58" s="15"/>
      <c r="C58" s="15"/>
      <c r="D58" s="15"/>
      <c r="F58"/>
      <c r="G58"/>
    </row>
    <row r="59" spans="1:7" s="140" customFormat="1" ht="18" customHeight="1" x14ac:dyDescent="0.2">
      <c r="A59" s="15"/>
      <c r="B59" s="15"/>
      <c r="C59" s="15"/>
      <c r="D59" s="15"/>
      <c r="F59"/>
      <c r="G59"/>
    </row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</sheetData>
  <mergeCells count="3">
    <mergeCell ref="A1:D1"/>
    <mergeCell ref="A2:D2"/>
    <mergeCell ref="A27:D27"/>
  </mergeCells>
  <phoneticPr fontId="1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40"/>
  <sheetViews>
    <sheetView view="pageBreakPreview" zoomScale="60" workbookViewId="0">
      <selection activeCell="N24" sqref="N24"/>
    </sheetView>
    <sheetView workbookViewId="1">
      <selection activeCell="I14" sqref="I14"/>
    </sheetView>
  </sheetViews>
  <sheetFormatPr defaultColWidth="13" defaultRowHeight="13" x14ac:dyDescent="0.2"/>
  <cols>
    <col min="1" max="1" width="16.6328125" style="10" customWidth="1"/>
    <col min="2" max="11" width="12.6328125" style="10" customWidth="1"/>
    <col min="12" max="16384" width="13" style="10"/>
  </cols>
  <sheetData>
    <row r="2" spans="1:11" ht="13.5" customHeight="1" x14ac:dyDescent="0.2">
      <c r="A2" s="536"/>
      <c r="B2" s="536"/>
      <c r="C2" s="536"/>
      <c r="D2" s="536"/>
      <c r="E2" s="536"/>
      <c r="F2" s="536"/>
      <c r="G2" s="536"/>
      <c r="H2" s="536"/>
      <c r="I2" s="536"/>
      <c r="J2" s="536"/>
      <c r="K2" s="536"/>
    </row>
    <row r="4" spans="1:11" s="17" customFormat="1" ht="33.75" customHeight="1" x14ac:dyDescent="0.35">
      <c r="A4" s="537" t="s">
        <v>179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</row>
    <row r="5" spans="1:11" ht="12.75" customHeight="1" x14ac:dyDescent="0.3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3.5" thickBot="1" x14ac:dyDescent="0.25"/>
    <row r="7" spans="1:11" ht="30" customHeight="1" x14ac:dyDescent="0.25">
      <c r="A7" s="18" t="s">
        <v>180</v>
      </c>
      <c r="B7" s="19" t="s">
        <v>181</v>
      </c>
      <c r="C7" s="20"/>
      <c r="D7" s="21"/>
      <c r="E7" s="19" t="s">
        <v>182</v>
      </c>
      <c r="F7" s="20"/>
      <c r="G7" s="21"/>
      <c r="H7" s="19" t="s">
        <v>183</v>
      </c>
      <c r="I7" s="380"/>
      <c r="J7" s="22"/>
      <c r="K7" s="2"/>
    </row>
    <row r="8" spans="1:11" ht="30" customHeight="1" thickBot="1" x14ac:dyDescent="0.3">
      <c r="A8" s="23" t="s">
        <v>184</v>
      </c>
      <c r="B8" s="24" t="s">
        <v>181</v>
      </c>
      <c r="C8" s="25"/>
      <c r="D8" s="26"/>
      <c r="E8" s="24" t="s">
        <v>182</v>
      </c>
      <c r="F8" s="25"/>
      <c r="G8" s="26"/>
      <c r="H8" s="24" t="s">
        <v>183</v>
      </c>
      <c r="I8" s="54"/>
      <c r="J8" s="27"/>
      <c r="K8" s="2"/>
    </row>
    <row r="9" spans="1:11" x14ac:dyDescent="0.2">
      <c r="B9" s="11"/>
      <c r="C9" s="11"/>
      <c r="D9" s="11"/>
      <c r="E9" s="11"/>
      <c r="F9" s="11"/>
      <c r="G9" s="11"/>
      <c r="H9" s="11"/>
    </row>
    <row r="10" spans="1:11" ht="13.5" thickBot="1" x14ac:dyDescent="0.25"/>
    <row r="11" spans="1:11" ht="30" customHeight="1" x14ac:dyDescent="0.2">
      <c r="A11" s="538" t="s">
        <v>185</v>
      </c>
      <c r="B11" s="540" t="s">
        <v>186</v>
      </c>
      <c r="C11" s="541"/>
      <c r="D11" s="541"/>
      <c r="E11" s="541"/>
      <c r="F11" s="542"/>
      <c r="G11" s="540" t="s">
        <v>187</v>
      </c>
      <c r="H11" s="541"/>
      <c r="I11" s="541"/>
      <c r="J11" s="541"/>
      <c r="K11" s="543"/>
    </row>
    <row r="12" spans="1:11" ht="30" customHeight="1" thickBot="1" x14ac:dyDescent="0.25">
      <c r="A12" s="539"/>
      <c r="B12" s="28" t="s">
        <v>155</v>
      </c>
      <c r="C12" s="29" t="s">
        <v>156</v>
      </c>
      <c r="D12" s="29" t="s">
        <v>157</v>
      </c>
      <c r="E12" s="29" t="s">
        <v>188</v>
      </c>
      <c r="F12" s="30" t="s">
        <v>189</v>
      </c>
      <c r="G12" s="28" t="s">
        <v>155</v>
      </c>
      <c r="H12" s="29" t="s">
        <v>156</v>
      </c>
      <c r="I12" s="29" t="s">
        <v>157</v>
      </c>
      <c r="J12" s="29" t="s">
        <v>188</v>
      </c>
      <c r="K12" s="31" t="s">
        <v>189</v>
      </c>
    </row>
    <row r="13" spans="1:11" ht="35.15" customHeight="1" thickTop="1" x14ac:dyDescent="0.25">
      <c r="A13" s="32" t="s">
        <v>79</v>
      </c>
      <c r="B13" s="33"/>
      <c r="C13" s="34"/>
      <c r="D13" s="34"/>
      <c r="E13" s="34">
        <f>SUM(B13:D13)</f>
        <v>0</v>
      </c>
      <c r="F13" s="405">
        <f>RANK(E13,$E$13:$E$22)</f>
        <v>1</v>
      </c>
      <c r="G13" s="35"/>
      <c r="H13" s="36"/>
      <c r="I13" s="36"/>
      <c r="J13" s="36">
        <f>SUM(G13:I13)</f>
        <v>0</v>
      </c>
      <c r="K13" s="408">
        <f>RANK(J13,$J$13:$J$22)</f>
        <v>1</v>
      </c>
    </row>
    <row r="14" spans="1:11" ht="35.15" customHeight="1" x14ac:dyDescent="0.25">
      <c r="A14" s="37" t="s">
        <v>123</v>
      </c>
      <c r="B14" s="38"/>
      <c r="C14" s="39"/>
      <c r="D14" s="39"/>
      <c r="E14" s="39">
        <f t="shared" ref="E14:E22" si="0">SUM(B14:D14)</f>
        <v>0</v>
      </c>
      <c r="F14" s="406">
        <f t="shared" ref="F14:F22" si="1">RANK(E14,$E$13:$E$22)</f>
        <v>1</v>
      </c>
      <c r="G14" s="38"/>
      <c r="H14" s="39"/>
      <c r="I14" s="39"/>
      <c r="J14" s="39">
        <f t="shared" ref="J14:J22" si="2">SUM(G14:I14)</f>
        <v>0</v>
      </c>
      <c r="K14" s="409">
        <f t="shared" ref="K14:K22" si="3">RANK(J14,$J$13:$J$22)</f>
        <v>1</v>
      </c>
    </row>
    <row r="15" spans="1:11" ht="35.15" customHeight="1" x14ac:dyDescent="0.25">
      <c r="A15" s="37" t="s">
        <v>190</v>
      </c>
      <c r="B15" s="38"/>
      <c r="C15" s="39"/>
      <c r="D15" s="39"/>
      <c r="E15" s="39">
        <f t="shared" si="0"/>
        <v>0</v>
      </c>
      <c r="F15" s="406">
        <f t="shared" si="1"/>
        <v>1</v>
      </c>
      <c r="G15" s="38"/>
      <c r="H15" s="39"/>
      <c r="I15" s="39"/>
      <c r="J15" s="39">
        <f t="shared" si="2"/>
        <v>0</v>
      </c>
      <c r="K15" s="409">
        <f t="shared" si="3"/>
        <v>1</v>
      </c>
    </row>
    <row r="16" spans="1:11" ht="35.15" customHeight="1" x14ac:dyDescent="0.25">
      <c r="A16" s="37" t="s">
        <v>15</v>
      </c>
      <c r="B16" s="38"/>
      <c r="C16" s="39"/>
      <c r="D16" s="39"/>
      <c r="E16" s="39">
        <f t="shared" si="0"/>
        <v>0</v>
      </c>
      <c r="F16" s="406">
        <f t="shared" si="1"/>
        <v>1</v>
      </c>
      <c r="G16" s="38"/>
      <c r="H16" s="39"/>
      <c r="I16" s="39"/>
      <c r="J16" s="39">
        <f t="shared" si="2"/>
        <v>0</v>
      </c>
      <c r="K16" s="409">
        <f t="shared" si="3"/>
        <v>1</v>
      </c>
    </row>
    <row r="17" spans="1:11" ht="35.15" customHeight="1" x14ac:dyDescent="0.25">
      <c r="A17" s="37" t="s">
        <v>191</v>
      </c>
      <c r="B17" s="38"/>
      <c r="C17" s="39"/>
      <c r="D17" s="39"/>
      <c r="E17" s="39">
        <f t="shared" si="0"/>
        <v>0</v>
      </c>
      <c r="F17" s="406">
        <f t="shared" si="1"/>
        <v>1</v>
      </c>
      <c r="G17" s="38"/>
      <c r="H17" s="39"/>
      <c r="I17" s="39"/>
      <c r="J17" s="39">
        <f t="shared" si="2"/>
        <v>0</v>
      </c>
      <c r="K17" s="409">
        <f t="shared" si="3"/>
        <v>1</v>
      </c>
    </row>
    <row r="18" spans="1:11" ht="35.15" customHeight="1" x14ac:dyDescent="0.25">
      <c r="A18" s="37" t="s">
        <v>70</v>
      </c>
      <c r="B18" s="38"/>
      <c r="C18" s="39"/>
      <c r="D18" s="39"/>
      <c r="E18" s="39">
        <f t="shared" si="0"/>
        <v>0</v>
      </c>
      <c r="F18" s="406">
        <f t="shared" si="1"/>
        <v>1</v>
      </c>
      <c r="G18" s="38"/>
      <c r="H18" s="39"/>
      <c r="I18" s="39"/>
      <c r="J18" s="39">
        <f t="shared" si="2"/>
        <v>0</v>
      </c>
      <c r="K18" s="409">
        <f t="shared" si="3"/>
        <v>1</v>
      </c>
    </row>
    <row r="19" spans="1:11" ht="35.15" customHeight="1" x14ac:dyDescent="0.25">
      <c r="A19" s="37" t="s">
        <v>124</v>
      </c>
      <c r="B19" s="38"/>
      <c r="C19" s="39"/>
      <c r="D19" s="39"/>
      <c r="E19" s="39">
        <f t="shared" si="0"/>
        <v>0</v>
      </c>
      <c r="F19" s="406">
        <f t="shared" si="1"/>
        <v>1</v>
      </c>
      <c r="G19" s="38"/>
      <c r="H19" s="39"/>
      <c r="I19" s="39"/>
      <c r="J19" s="39">
        <f t="shared" si="2"/>
        <v>0</v>
      </c>
      <c r="K19" s="409">
        <f t="shared" si="3"/>
        <v>1</v>
      </c>
    </row>
    <row r="20" spans="1:11" ht="35.15" customHeight="1" x14ac:dyDescent="0.25">
      <c r="A20" s="37" t="s">
        <v>192</v>
      </c>
      <c r="B20" s="38"/>
      <c r="C20" s="39"/>
      <c r="D20" s="39"/>
      <c r="E20" s="39">
        <f t="shared" si="0"/>
        <v>0</v>
      </c>
      <c r="F20" s="406">
        <f t="shared" si="1"/>
        <v>1</v>
      </c>
      <c r="G20" s="38"/>
      <c r="H20" s="39"/>
      <c r="I20" s="39"/>
      <c r="J20" s="39">
        <f t="shared" si="2"/>
        <v>0</v>
      </c>
      <c r="K20" s="409">
        <f t="shared" si="3"/>
        <v>1</v>
      </c>
    </row>
    <row r="21" spans="1:11" ht="35.15" customHeight="1" x14ac:dyDescent="0.25">
      <c r="A21" s="37" t="s">
        <v>193</v>
      </c>
      <c r="B21" s="38"/>
      <c r="C21" s="39"/>
      <c r="D21" s="39"/>
      <c r="E21" s="39">
        <f t="shared" si="0"/>
        <v>0</v>
      </c>
      <c r="F21" s="406">
        <f t="shared" si="1"/>
        <v>1</v>
      </c>
      <c r="G21" s="38"/>
      <c r="H21" s="39"/>
      <c r="I21" s="39"/>
      <c r="J21" s="39">
        <f t="shared" si="2"/>
        <v>0</v>
      </c>
      <c r="K21" s="409">
        <f t="shared" si="3"/>
        <v>1</v>
      </c>
    </row>
    <row r="22" spans="1:11" ht="35.15" customHeight="1" thickBot="1" x14ac:dyDescent="0.3">
      <c r="A22" s="118" t="s">
        <v>47</v>
      </c>
      <c r="B22" s="119"/>
      <c r="C22" s="120"/>
      <c r="D22" s="120"/>
      <c r="E22" s="120">
        <f t="shared" si="0"/>
        <v>0</v>
      </c>
      <c r="F22" s="407">
        <f t="shared" si="1"/>
        <v>1</v>
      </c>
      <c r="G22" s="119"/>
      <c r="H22" s="120"/>
      <c r="I22" s="120"/>
      <c r="J22" s="120">
        <f t="shared" si="2"/>
        <v>0</v>
      </c>
      <c r="K22" s="410">
        <f t="shared" si="3"/>
        <v>1</v>
      </c>
    </row>
    <row r="23" spans="1:11" ht="13.5" thickBot="1" x14ac:dyDescent="0.25"/>
    <row r="24" spans="1:11" ht="20.149999999999999" customHeight="1" thickBot="1" x14ac:dyDescent="0.25">
      <c r="A24" s="40"/>
      <c r="B24" s="544" t="s">
        <v>195</v>
      </c>
      <c r="C24" s="545"/>
      <c r="D24" s="546"/>
      <c r="E24" s="41" t="s">
        <v>181</v>
      </c>
      <c r="F24" s="41" t="s">
        <v>182</v>
      </c>
      <c r="G24" s="41" t="s">
        <v>183</v>
      </c>
      <c r="H24" s="41" t="s">
        <v>196</v>
      </c>
      <c r="I24" s="41" t="s">
        <v>197</v>
      </c>
      <c r="J24" s="42" t="s">
        <v>198</v>
      </c>
    </row>
    <row r="25" spans="1:11" ht="22" customHeight="1" thickTop="1" thickBot="1" x14ac:dyDescent="0.3">
      <c r="A25" s="547" t="s">
        <v>186</v>
      </c>
      <c r="B25" s="548" t="s">
        <v>199</v>
      </c>
      <c r="C25" s="549"/>
      <c r="D25" s="550"/>
      <c r="E25" s="43">
        <v>12</v>
      </c>
      <c r="F25" s="43">
        <v>10</v>
      </c>
      <c r="G25" s="43">
        <v>8</v>
      </c>
      <c r="H25" s="43">
        <v>6</v>
      </c>
      <c r="I25" s="43">
        <v>4</v>
      </c>
      <c r="J25" s="44">
        <v>2</v>
      </c>
      <c r="K25" s="2"/>
    </row>
    <row r="26" spans="1:11" ht="22" customHeight="1" thickTop="1" thickBot="1" x14ac:dyDescent="0.3">
      <c r="A26" s="534"/>
      <c r="B26" s="45" t="s">
        <v>158</v>
      </c>
      <c r="C26" s="46"/>
      <c r="D26" s="45"/>
      <c r="E26" s="47">
        <v>9</v>
      </c>
      <c r="F26" s="47">
        <v>7.5</v>
      </c>
      <c r="G26" s="47">
        <v>6</v>
      </c>
      <c r="H26" s="47">
        <v>4.5</v>
      </c>
      <c r="I26" s="47">
        <v>3</v>
      </c>
      <c r="J26" s="48">
        <v>1.5</v>
      </c>
      <c r="K26" s="2"/>
    </row>
    <row r="27" spans="1:11" ht="22" customHeight="1" thickTop="1" thickBot="1" x14ac:dyDescent="0.3">
      <c r="A27" s="534"/>
      <c r="B27" s="49" t="s">
        <v>159</v>
      </c>
      <c r="C27" s="50"/>
      <c r="D27" s="51"/>
      <c r="E27" s="29">
        <v>6</v>
      </c>
      <c r="F27" s="29">
        <v>5</v>
      </c>
      <c r="G27" s="29">
        <v>4</v>
      </c>
      <c r="H27" s="29">
        <v>3</v>
      </c>
      <c r="I27" s="29">
        <v>2</v>
      </c>
      <c r="J27" s="31">
        <v>1</v>
      </c>
      <c r="K27" s="2"/>
    </row>
    <row r="28" spans="1:11" ht="22" customHeight="1" thickTop="1" thickBot="1" x14ac:dyDescent="0.3">
      <c r="A28" s="534" t="s">
        <v>187</v>
      </c>
      <c r="B28" s="548" t="s">
        <v>199</v>
      </c>
      <c r="C28" s="549"/>
      <c r="D28" s="550"/>
      <c r="E28" s="43">
        <v>12</v>
      </c>
      <c r="F28" s="43">
        <v>10</v>
      </c>
      <c r="G28" s="43">
        <v>8</v>
      </c>
      <c r="H28" s="43">
        <v>6</v>
      </c>
      <c r="I28" s="43">
        <v>4</v>
      </c>
      <c r="J28" s="44">
        <v>2</v>
      </c>
      <c r="K28" s="2"/>
    </row>
    <row r="29" spans="1:11" ht="22" customHeight="1" thickTop="1" thickBot="1" x14ac:dyDescent="0.3">
      <c r="A29" s="534"/>
      <c r="B29" s="45" t="s">
        <v>158</v>
      </c>
      <c r="C29" s="46"/>
      <c r="D29" s="45"/>
      <c r="E29" s="52">
        <v>9</v>
      </c>
      <c r="F29" s="47">
        <v>7.5</v>
      </c>
      <c r="G29" s="47">
        <v>6</v>
      </c>
      <c r="H29" s="47">
        <v>4.5</v>
      </c>
      <c r="I29" s="47">
        <v>3</v>
      </c>
      <c r="J29" s="48">
        <v>1.5</v>
      </c>
      <c r="K29" s="2"/>
    </row>
    <row r="30" spans="1:11" ht="22" customHeight="1" thickTop="1" thickBot="1" x14ac:dyDescent="0.3">
      <c r="A30" s="535"/>
      <c r="B30" s="53" t="s">
        <v>159</v>
      </c>
      <c r="C30" s="54"/>
      <c r="D30" s="53"/>
      <c r="E30" s="26">
        <v>6</v>
      </c>
      <c r="F30" s="24">
        <v>5</v>
      </c>
      <c r="G30" s="24">
        <v>4</v>
      </c>
      <c r="H30" s="24">
        <v>3</v>
      </c>
      <c r="I30" s="24">
        <v>2</v>
      </c>
      <c r="J30" s="55">
        <v>1</v>
      </c>
      <c r="K30" s="2"/>
    </row>
    <row r="32" spans="1:11" ht="19" x14ac:dyDescent="0.3">
      <c r="A32" s="13" t="s">
        <v>200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5" spans="1:11" ht="19" x14ac:dyDescent="0.3">
      <c r="A35" s="13" t="s">
        <v>201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19" x14ac:dyDescent="0.3">
      <c r="A36" s="13">
        <v>1</v>
      </c>
      <c r="B36" s="13" t="s">
        <v>202</v>
      </c>
      <c r="C36" s="13"/>
      <c r="D36" s="13"/>
      <c r="E36" s="13"/>
      <c r="F36" s="13"/>
      <c r="G36" s="13"/>
      <c r="H36" s="13"/>
      <c r="I36" s="13"/>
      <c r="J36" s="13"/>
      <c r="K36" s="13"/>
    </row>
    <row r="37" spans="1:11" ht="19" x14ac:dyDescent="0.3">
      <c r="A37" s="13">
        <v>2</v>
      </c>
      <c r="B37" s="13" t="s">
        <v>203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19" x14ac:dyDescent="0.3">
      <c r="A38" s="13"/>
      <c r="B38" s="13" t="s">
        <v>204</v>
      </c>
      <c r="C38" s="13"/>
      <c r="D38" s="13"/>
      <c r="E38" s="13"/>
      <c r="F38" s="13"/>
      <c r="G38" s="13"/>
      <c r="H38" s="13"/>
      <c r="I38" s="13"/>
      <c r="J38" s="13"/>
      <c r="K38" s="13"/>
    </row>
    <row r="39" spans="1:11" ht="19" x14ac:dyDescent="0.3">
      <c r="A39" s="13">
        <v>3</v>
      </c>
      <c r="B39" s="13" t="s">
        <v>205</v>
      </c>
      <c r="C39" s="13"/>
      <c r="D39" s="13"/>
      <c r="E39" s="13"/>
      <c r="F39" s="13"/>
      <c r="G39" s="13"/>
      <c r="H39" s="13"/>
      <c r="I39" s="13"/>
      <c r="J39" s="13"/>
      <c r="K39" s="13"/>
    </row>
    <row r="40" spans="1:11" ht="19" x14ac:dyDescent="0.3">
      <c r="A40" s="13"/>
      <c r="B40" s="13" t="s">
        <v>206</v>
      </c>
      <c r="C40" s="13"/>
      <c r="D40" s="13"/>
      <c r="E40" s="13"/>
      <c r="F40" s="13"/>
      <c r="G40" s="13"/>
      <c r="H40" s="13"/>
      <c r="I40" s="13"/>
      <c r="J40" s="13"/>
      <c r="K40" s="13"/>
    </row>
  </sheetData>
  <mergeCells count="10">
    <mergeCell ref="A28:A30"/>
    <mergeCell ref="A2:K2"/>
    <mergeCell ref="A4:K4"/>
    <mergeCell ref="A11:A12"/>
    <mergeCell ref="B11:F11"/>
    <mergeCell ref="G11:K11"/>
    <mergeCell ref="B24:D24"/>
    <mergeCell ref="A25:A27"/>
    <mergeCell ref="B25:D25"/>
    <mergeCell ref="B28:D28"/>
  </mergeCells>
  <phoneticPr fontId="1"/>
  <pageMargins left="0.54" right="0.32" top="0.66" bottom="0.63" header="0.51200000000000001" footer="0.51200000000000001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5"/>
  <sheetViews>
    <sheetView topLeftCell="A2" workbookViewId="0">
      <pane xSplit="2" ySplit="3" topLeftCell="C27" activePane="bottomRight" state="frozen"/>
      <selection activeCell="A2" sqref="A2"/>
      <selection pane="topRight" activeCell="C2" sqref="C2"/>
      <selection pane="bottomLeft" activeCell="A5" sqref="A5"/>
      <selection pane="bottomRight" activeCell="D30" sqref="D30"/>
    </sheetView>
    <sheetView workbookViewId="1"/>
  </sheetViews>
  <sheetFormatPr defaultColWidth="13" defaultRowHeight="13" x14ac:dyDescent="0.2"/>
  <cols>
    <col min="1" max="1" width="9" style="10" customWidth="1"/>
    <col min="2" max="2" width="13.08984375" style="10" customWidth="1"/>
    <col min="3" max="8" width="11.90625" style="10" customWidth="1"/>
    <col min="9" max="16384" width="13" style="10"/>
  </cols>
  <sheetData>
    <row r="1" spans="2:8" ht="23.5" x14ac:dyDescent="0.35">
      <c r="B1" s="551" t="s">
        <v>207</v>
      </c>
      <c r="C1" s="551"/>
      <c r="D1" s="551"/>
      <c r="E1" s="551"/>
      <c r="F1" s="551"/>
      <c r="G1" s="551"/>
      <c r="H1" s="551"/>
    </row>
    <row r="2" spans="2:8" ht="13.5" thickBot="1" x14ac:dyDescent="0.25"/>
    <row r="3" spans="2:8" ht="38.15" customHeight="1" thickTop="1" x14ac:dyDescent="0.2">
      <c r="B3" s="552" t="s">
        <v>208</v>
      </c>
      <c r="C3" s="554" t="s">
        <v>186</v>
      </c>
      <c r="D3" s="555"/>
      <c r="E3" s="556"/>
      <c r="F3" s="557" t="s">
        <v>187</v>
      </c>
      <c r="G3" s="555"/>
      <c r="H3" s="558"/>
    </row>
    <row r="4" spans="2:8" ht="38.15" customHeight="1" thickBot="1" x14ac:dyDescent="0.25">
      <c r="B4" s="553"/>
      <c r="C4" s="153" t="s">
        <v>181</v>
      </c>
      <c r="D4" s="154" t="s">
        <v>182</v>
      </c>
      <c r="E4" s="155" t="s">
        <v>183</v>
      </c>
      <c r="F4" s="156" t="s">
        <v>181</v>
      </c>
      <c r="G4" s="154" t="s">
        <v>182</v>
      </c>
      <c r="H4" s="157" t="s">
        <v>183</v>
      </c>
    </row>
    <row r="5" spans="2:8" ht="38.15" customHeight="1" thickTop="1" x14ac:dyDescent="0.2">
      <c r="B5" s="158" t="s">
        <v>209</v>
      </c>
      <c r="C5" s="159" t="s">
        <v>72</v>
      </c>
      <c r="D5" s="160" t="s">
        <v>210</v>
      </c>
      <c r="E5" s="161" t="s">
        <v>191</v>
      </c>
      <c r="F5" s="162" t="s">
        <v>72</v>
      </c>
      <c r="G5" s="160" t="s">
        <v>70</v>
      </c>
      <c r="H5" s="163" t="s">
        <v>211</v>
      </c>
    </row>
    <row r="6" spans="2:8" ht="38.15" customHeight="1" x14ac:dyDescent="0.2">
      <c r="B6" s="164" t="s">
        <v>212</v>
      </c>
      <c r="C6" s="165" t="s">
        <v>72</v>
      </c>
      <c r="D6" s="166" t="s">
        <v>79</v>
      </c>
      <c r="E6" s="167" t="s">
        <v>191</v>
      </c>
      <c r="F6" s="168" t="s">
        <v>72</v>
      </c>
      <c r="G6" s="166" t="s">
        <v>70</v>
      </c>
      <c r="H6" s="169" t="s">
        <v>213</v>
      </c>
    </row>
    <row r="7" spans="2:8" ht="38.15" customHeight="1" x14ac:dyDescent="0.2">
      <c r="B7" s="164" t="s">
        <v>214</v>
      </c>
      <c r="C7" s="165" t="s">
        <v>72</v>
      </c>
      <c r="D7" s="166" t="s">
        <v>79</v>
      </c>
      <c r="E7" s="167" t="s">
        <v>191</v>
      </c>
      <c r="F7" s="168" t="s">
        <v>72</v>
      </c>
      <c r="G7" s="166" t="s">
        <v>79</v>
      </c>
      <c r="H7" s="169" t="s">
        <v>70</v>
      </c>
    </row>
    <row r="8" spans="2:8" ht="38.15" customHeight="1" x14ac:dyDescent="0.2">
      <c r="B8" s="164" t="s">
        <v>215</v>
      </c>
      <c r="C8" s="165" t="s">
        <v>72</v>
      </c>
      <c r="D8" s="166" t="s">
        <v>210</v>
      </c>
      <c r="E8" s="167" t="s">
        <v>94</v>
      </c>
      <c r="F8" s="168" t="s">
        <v>72</v>
      </c>
      <c r="G8" s="166" t="s">
        <v>79</v>
      </c>
      <c r="H8" s="169" t="s">
        <v>94</v>
      </c>
    </row>
    <row r="9" spans="2:8" ht="38.15" customHeight="1" x14ac:dyDescent="0.2">
      <c r="B9" s="164" t="s">
        <v>216</v>
      </c>
      <c r="C9" s="165" t="s">
        <v>94</v>
      </c>
      <c r="D9" s="166" t="s">
        <v>72</v>
      </c>
      <c r="E9" s="167" t="s">
        <v>95</v>
      </c>
      <c r="F9" s="168" t="s">
        <v>72</v>
      </c>
      <c r="G9" s="166" t="s">
        <v>70</v>
      </c>
      <c r="H9" s="169" t="s">
        <v>79</v>
      </c>
    </row>
    <row r="10" spans="2:8" ht="38.15" customHeight="1" x14ac:dyDescent="0.2">
      <c r="B10" s="164" t="s">
        <v>217</v>
      </c>
      <c r="C10" s="165" t="s">
        <v>72</v>
      </c>
      <c r="D10" s="166" t="s">
        <v>210</v>
      </c>
      <c r="E10" s="167" t="s">
        <v>94</v>
      </c>
      <c r="F10" s="168" t="s">
        <v>72</v>
      </c>
      <c r="G10" s="166" t="s">
        <v>70</v>
      </c>
      <c r="H10" s="169" t="s">
        <v>79</v>
      </c>
    </row>
    <row r="11" spans="2:8" ht="38.15" customHeight="1" x14ac:dyDescent="0.2">
      <c r="B11" s="164" t="s">
        <v>218</v>
      </c>
      <c r="C11" s="165" t="s">
        <v>72</v>
      </c>
      <c r="D11" s="166" t="s">
        <v>210</v>
      </c>
      <c r="E11" s="167" t="s">
        <v>94</v>
      </c>
      <c r="F11" s="168" t="s">
        <v>72</v>
      </c>
      <c r="G11" s="166" t="s">
        <v>79</v>
      </c>
      <c r="H11" s="169" t="s">
        <v>70</v>
      </c>
    </row>
    <row r="12" spans="2:8" ht="38.15" customHeight="1" x14ac:dyDescent="0.2">
      <c r="B12" s="164" t="s">
        <v>219</v>
      </c>
      <c r="C12" s="165" t="s">
        <v>72</v>
      </c>
      <c r="D12" s="166" t="s">
        <v>95</v>
      </c>
      <c r="E12" s="167" t="s">
        <v>210</v>
      </c>
      <c r="F12" s="168" t="s">
        <v>79</v>
      </c>
      <c r="G12" s="166" t="s">
        <v>72</v>
      </c>
      <c r="H12" s="169" t="s">
        <v>70</v>
      </c>
    </row>
    <row r="13" spans="2:8" ht="38.15" customHeight="1" x14ac:dyDescent="0.2">
      <c r="B13" s="164" t="s">
        <v>220</v>
      </c>
      <c r="C13" s="165" t="s">
        <v>79</v>
      </c>
      <c r="D13" s="166" t="s">
        <v>72</v>
      </c>
      <c r="E13" s="167" t="s">
        <v>94</v>
      </c>
      <c r="F13" s="168" t="s">
        <v>79</v>
      </c>
      <c r="G13" s="166" t="s">
        <v>72</v>
      </c>
      <c r="H13" s="170" t="s">
        <v>96</v>
      </c>
    </row>
    <row r="14" spans="2:8" ht="38.15" customHeight="1" x14ac:dyDescent="0.2">
      <c r="B14" s="164" t="s">
        <v>221</v>
      </c>
      <c r="C14" s="171" t="s">
        <v>94</v>
      </c>
      <c r="D14" s="172" t="s">
        <v>70</v>
      </c>
      <c r="E14" s="173" t="s">
        <v>79</v>
      </c>
      <c r="F14" s="174" t="s">
        <v>72</v>
      </c>
      <c r="G14" s="172" t="s">
        <v>79</v>
      </c>
      <c r="H14" s="175" t="s">
        <v>70</v>
      </c>
    </row>
    <row r="15" spans="2:8" ht="38.15" customHeight="1" x14ac:dyDescent="0.2">
      <c r="B15" s="164" t="s">
        <v>222</v>
      </c>
      <c r="C15" s="171" t="s">
        <v>94</v>
      </c>
      <c r="D15" s="172" t="s">
        <v>70</v>
      </c>
      <c r="E15" s="173" t="s">
        <v>71</v>
      </c>
      <c r="F15" s="174" t="s">
        <v>72</v>
      </c>
      <c r="G15" s="172" t="s">
        <v>79</v>
      </c>
      <c r="H15" s="175" t="s">
        <v>70</v>
      </c>
    </row>
    <row r="16" spans="2:8" ht="38.15" customHeight="1" x14ac:dyDescent="0.2">
      <c r="B16" s="164" t="s">
        <v>223</v>
      </c>
      <c r="C16" s="172" t="s">
        <v>70</v>
      </c>
      <c r="D16" s="171" t="s">
        <v>94</v>
      </c>
      <c r="E16" s="173" t="s">
        <v>71</v>
      </c>
      <c r="F16" s="168" t="s">
        <v>79</v>
      </c>
      <c r="G16" s="171" t="s">
        <v>72</v>
      </c>
      <c r="H16" s="175" t="s">
        <v>70</v>
      </c>
    </row>
    <row r="17" spans="2:8" ht="38.15" customHeight="1" x14ac:dyDescent="0.2">
      <c r="B17" s="164" t="s">
        <v>13</v>
      </c>
      <c r="C17" s="171" t="s">
        <v>72</v>
      </c>
      <c r="D17" s="171" t="s">
        <v>94</v>
      </c>
      <c r="E17" s="173" t="s">
        <v>15</v>
      </c>
      <c r="F17" s="174" t="s">
        <v>72</v>
      </c>
      <c r="G17" s="171" t="s">
        <v>70</v>
      </c>
      <c r="H17" s="175" t="s">
        <v>79</v>
      </c>
    </row>
    <row r="18" spans="2:8" ht="38.15" customHeight="1" x14ac:dyDescent="0.2">
      <c r="B18" s="176" t="s">
        <v>14</v>
      </c>
      <c r="C18" s="171" t="s">
        <v>15</v>
      </c>
      <c r="D18" s="172" t="s">
        <v>79</v>
      </c>
      <c r="E18" s="173" t="s">
        <v>93</v>
      </c>
      <c r="F18" s="174" t="s">
        <v>93</v>
      </c>
      <c r="G18" s="172" t="s">
        <v>79</v>
      </c>
      <c r="H18" s="175" t="s">
        <v>71</v>
      </c>
    </row>
    <row r="19" spans="2:8" ht="38.15" customHeight="1" x14ac:dyDescent="0.2">
      <c r="B19" s="164" t="s">
        <v>91</v>
      </c>
      <c r="C19" s="165" t="s">
        <v>79</v>
      </c>
      <c r="D19" s="166" t="s">
        <v>15</v>
      </c>
      <c r="E19" s="167" t="s">
        <v>93</v>
      </c>
      <c r="F19" s="168" t="s">
        <v>72</v>
      </c>
      <c r="G19" s="166" t="s">
        <v>79</v>
      </c>
      <c r="H19" s="169" t="s">
        <v>70</v>
      </c>
    </row>
    <row r="20" spans="2:8" ht="38.15" customHeight="1" x14ac:dyDescent="0.2">
      <c r="B20" s="164" t="s">
        <v>92</v>
      </c>
      <c r="C20" s="165" t="s">
        <v>191</v>
      </c>
      <c r="D20" s="166" t="s">
        <v>72</v>
      </c>
      <c r="E20" s="167" t="s">
        <v>79</v>
      </c>
      <c r="F20" s="168" t="s">
        <v>79</v>
      </c>
      <c r="G20" s="166" t="s">
        <v>72</v>
      </c>
      <c r="H20" s="169" t="s">
        <v>210</v>
      </c>
    </row>
    <row r="21" spans="2:8" ht="38.15" customHeight="1" x14ac:dyDescent="0.2">
      <c r="B21" s="164" t="s">
        <v>90</v>
      </c>
      <c r="C21" s="171" t="s">
        <v>15</v>
      </c>
      <c r="D21" s="166" t="s">
        <v>79</v>
      </c>
      <c r="E21" s="167" t="s">
        <v>95</v>
      </c>
      <c r="F21" s="168" t="s">
        <v>79</v>
      </c>
      <c r="G21" s="166" t="s">
        <v>15</v>
      </c>
      <c r="H21" s="169" t="s">
        <v>70</v>
      </c>
    </row>
    <row r="22" spans="2:8" ht="38.15" customHeight="1" x14ac:dyDescent="0.2">
      <c r="B22" s="164" t="s">
        <v>55</v>
      </c>
      <c r="C22" s="171" t="s">
        <v>15</v>
      </c>
      <c r="D22" s="166" t="s">
        <v>72</v>
      </c>
      <c r="E22" s="167" t="s">
        <v>95</v>
      </c>
      <c r="F22" s="168" t="s">
        <v>93</v>
      </c>
      <c r="G22" s="166" t="s">
        <v>79</v>
      </c>
      <c r="H22" s="169" t="s">
        <v>194</v>
      </c>
    </row>
    <row r="23" spans="2:8" ht="38.15" customHeight="1" x14ac:dyDescent="0.2">
      <c r="B23" s="164" t="s">
        <v>56</v>
      </c>
      <c r="C23" s="165" t="s">
        <v>15</v>
      </c>
      <c r="D23" s="166" t="s">
        <v>33</v>
      </c>
      <c r="E23" s="167" t="s">
        <v>79</v>
      </c>
      <c r="F23" s="168" t="s">
        <v>15</v>
      </c>
      <c r="G23" s="166" t="s">
        <v>191</v>
      </c>
      <c r="H23" s="177" t="s">
        <v>124</v>
      </c>
    </row>
    <row r="24" spans="2:8" ht="38.15" customHeight="1" x14ac:dyDescent="0.2">
      <c r="B24" s="164" t="s">
        <v>32</v>
      </c>
      <c r="C24" s="165" t="s">
        <v>15</v>
      </c>
      <c r="D24" s="166" t="s">
        <v>95</v>
      </c>
      <c r="E24" s="167" t="s">
        <v>191</v>
      </c>
      <c r="F24" s="168" t="s">
        <v>15</v>
      </c>
      <c r="G24" s="166" t="s">
        <v>194</v>
      </c>
      <c r="H24" s="177" t="s">
        <v>79</v>
      </c>
    </row>
    <row r="25" spans="2:8" ht="38.15" customHeight="1" x14ac:dyDescent="0.2">
      <c r="B25" s="164" t="s">
        <v>43</v>
      </c>
      <c r="C25" s="165" t="s">
        <v>15</v>
      </c>
      <c r="D25" s="166" t="s">
        <v>191</v>
      </c>
      <c r="E25" s="167" t="s">
        <v>193</v>
      </c>
      <c r="F25" s="168" t="s">
        <v>79</v>
      </c>
      <c r="G25" s="166" t="s">
        <v>15</v>
      </c>
      <c r="H25" s="177" t="s">
        <v>70</v>
      </c>
    </row>
    <row r="26" spans="2:8" ht="38.15" customHeight="1" x14ac:dyDescent="0.2">
      <c r="B26" s="164" t="s">
        <v>0</v>
      </c>
      <c r="C26" s="165" t="s">
        <v>406</v>
      </c>
      <c r="D26" s="166" t="s">
        <v>407</v>
      </c>
      <c r="E26" s="167" t="s">
        <v>408</v>
      </c>
      <c r="F26" s="168" t="s">
        <v>409</v>
      </c>
      <c r="G26" s="166" t="s">
        <v>406</v>
      </c>
      <c r="H26" s="177" t="s">
        <v>410</v>
      </c>
    </row>
    <row r="27" spans="2:8" ht="38.15" customHeight="1" x14ac:dyDescent="0.2">
      <c r="B27" s="164" t="s">
        <v>1</v>
      </c>
      <c r="C27" s="165" t="s">
        <v>406</v>
      </c>
      <c r="D27" s="166" t="s">
        <v>193</v>
      </c>
      <c r="E27" s="167" t="s">
        <v>407</v>
      </c>
      <c r="F27" s="168" t="s">
        <v>423</v>
      </c>
      <c r="G27" s="166" t="s">
        <v>414</v>
      </c>
      <c r="H27" s="177" t="s">
        <v>410</v>
      </c>
    </row>
    <row r="28" spans="2:8" ht="38.15" customHeight="1" x14ac:dyDescent="0.2">
      <c r="B28" s="164" t="s">
        <v>428</v>
      </c>
      <c r="C28" s="165" t="s">
        <v>429</v>
      </c>
      <c r="D28" s="166" t="s">
        <v>431</v>
      </c>
      <c r="E28" s="213" t="s">
        <v>432</v>
      </c>
      <c r="F28" s="168" t="s">
        <v>430</v>
      </c>
      <c r="G28" s="166" t="s">
        <v>433</v>
      </c>
      <c r="H28" s="177" t="s">
        <v>431</v>
      </c>
    </row>
    <row r="29" spans="2:8" ht="38.15" customHeight="1" x14ac:dyDescent="0.2">
      <c r="B29" s="214" t="s">
        <v>434</v>
      </c>
      <c r="C29" s="215" t="s">
        <v>436</v>
      </c>
      <c r="D29" s="225" t="s">
        <v>437</v>
      </c>
      <c r="E29" s="217"/>
      <c r="F29" s="218" t="s">
        <v>436</v>
      </c>
      <c r="G29" s="216" t="s">
        <v>438</v>
      </c>
      <c r="H29" s="177" t="s">
        <v>431</v>
      </c>
    </row>
    <row r="30" spans="2:8" ht="38.15" customHeight="1" x14ac:dyDescent="0.2">
      <c r="B30" s="372" t="s">
        <v>435</v>
      </c>
      <c r="C30" s="373" t="s">
        <v>603</v>
      </c>
      <c r="D30" s="384" t="s">
        <v>604</v>
      </c>
      <c r="E30" s="374" t="s">
        <v>606</v>
      </c>
      <c r="F30" s="375" t="s">
        <v>601</v>
      </c>
      <c r="G30" s="376" t="s">
        <v>604</v>
      </c>
      <c r="H30" s="219" t="s">
        <v>607</v>
      </c>
    </row>
    <row r="31" spans="2:8" ht="38.15" customHeight="1" x14ac:dyDescent="0.2">
      <c r="B31" s="372" t="s">
        <v>520</v>
      </c>
      <c r="C31" s="559" t="s">
        <v>522</v>
      </c>
      <c r="D31" s="560"/>
      <c r="E31" s="560"/>
      <c r="F31" s="560"/>
      <c r="G31" s="560"/>
      <c r="H31" s="561"/>
    </row>
    <row r="32" spans="2:8" ht="37.5" customHeight="1" x14ac:dyDescent="0.2">
      <c r="B32" s="420" t="s">
        <v>521</v>
      </c>
      <c r="C32" s="421" t="s">
        <v>601</v>
      </c>
      <c r="D32" s="422" t="s">
        <v>602</v>
      </c>
      <c r="E32" s="423" t="s">
        <v>603</v>
      </c>
      <c r="F32" s="424" t="s">
        <v>604</v>
      </c>
      <c r="G32" s="425" t="s">
        <v>601</v>
      </c>
      <c r="H32" s="385" t="s">
        <v>605</v>
      </c>
    </row>
    <row r="33" spans="2:8" ht="37.5" customHeight="1" x14ac:dyDescent="0.2">
      <c r="B33" s="372" t="s">
        <v>595</v>
      </c>
      <c r="C33" s="373" t="s">
        <v>15</v>
      </c>
      <c r="D33" s="384" t="s">
        <v>193</v>
      </c>
      <c r="E33" s="374" t="s">
        <v>655</v>
      </c>
      <c r="F33" s="375" t="s">
        <v>93</v>
      </c>
      <c r="G33" s="376" t="s">
        <v>79</v>
      </c>
      <c r="H33" s="426" t="s">
        <v>15</v>
      </c>
    </row>
    <row r="34" spans="2:8" ht="37.5" customHeight="1" thickBot="1" x14ac:dyDescent="0.25">
      <c r="B34" s="220" t="s">
        <v>660</v>
      </c>
      <c r="C34" s="221"/>
      <c r="D34" s="222"/>
      <c r="E34" s="223"/>
      <c r="F34" s="221"/>
      <c r="G34" s="222"/>
      <c r="H34" s="224"/>
    </row>
    <row r="35" spans="2:8" ht="13.5" thickTop="1" x14ac:dyDescent="0.2"/>
  </sheetData>
  <mergeCells count="5">
    <mergeCell ref="B1:H1"/>
    <mergeCell ref="B3:B4"/>
    <mergeCell ref="C3:E3"/>
    <mergeCell ref="F3:H3"/>
    <mergeCell ref="C31:H31"/>
  </mergeCells>
  <phoneticPr fontId="1"/>
  <pageMargins left="0.75" right="0.75" top="0.54" bottom="0.68" header="0.51200000000000001" footer="0.51200000000000001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7"/>
  <sheetViews>
    <sheetView topLeftCell="A70" zoomScale="95" zoomScaleNormal="95" workbookViewId="0">
      <selection activeCell="A82" sqref="A82"/>
    </sheetView>
    <sheetView topLeftCell="A56" workbookViewId="1">
      <selection activeCell="D13" sqref="D13"/>
    </sheetView>
  </sheetViews>
  <sheetFormatPr defaultColWidth="13" defaultRowHeight="13" x14ac:dyDescent="0.2"/>
  <cols>
    <col min="1" max="1" width="14.08984375" style="10" customWidth="1"/>
    <col min="2" max="2" width="15.36328125" style="10" customWidth="1"/>
    <col min="3" max="3" width="12.90625" style="10" customWidth="1"/>
    <col min="4" max="4" width="16.08984375" style="10" customWidth="1"/>
    <col min="5" max="5" width="14.6328125" style="10" customWidth="1"/>
    <col min="6" max="6" width="11.90625" style="10" customWidth="1"/>
    <col min="7" max="7" width="14.6328125" style="10" customWidth="1"/>
    <col min="8" max="16384" width="13" style="10"/>
  </cols>
  <sheetData>
    <row r="1" spans="1:7" ht="16.5" x14ac:dyDescent="0.25">
      <c r="A1" s="571" t="s">
        <v>224</v>
      </c>
      <c r="B1" s="571"/>
      <c r="C1" s="571"/>
      <c r="D1" s="571"/>
      <c r="E1" s="571"/>
      <c r="F1" s="571"/>
      <c r="G1" s="571"/>
    </row>
    <row r="2" spans="1:7" s="15" customFormat="1" ht="18.75" customHeight="1" thickBot="1" x14ac:dyDescent="0.25">
      <c r="A2" s="15" t="s">
        <v>225</v>
      </c>
    </row>
    <row r="3" spans="1:7" s="15" customFormat="1" ht="18.75" customHeight="1" thickTop="1" thickBot="1" x14ac:dyDescent="0.25">
      <c r="A3" s="565" t="s">
        <v>208</v>
      </c>
      <c r="B3" s="567" t="s">
        <v>186</v>
      </c>
      <c r="C3" s="568"/>
      <c r="D3" s="569"/>
      <c r="E3" s="567" t="s">
        <v>187</v>
      </c>
      <c r="F3" s="568"/>
      <c r="G3" s="570"/>
    </row>
    <row r="4" spans="1:7" s="15" customFormat="1" ht="18.75" customHeight="1" thickTop="1" thickBot="1" x14ac:dyDescent="0.25">
      <c r="A4" s="566"/>
      <c r="B4" s="56" t="s">
        <v>376</v>
      </c>
      <c r="C4" s="57" t="s">
        <v>226</v>
      </c>
      <c r="D4" s="58" t="s">
        <v>377</v>
      </c>
      <c r="E4" s="59"/>
      <c r="F4" s="57" t="s">
        <v>226</v>
      </c>
      <c r="G4" s="60"/>
    </row>
    <row r="5" spans="1:7" s="15" customFormat="1" ht="18.75" customHeight="1" thickTop="1" x14ac:dyDescent="0.2">
      <c r="A5" s="61" t="s">
        <v>227</v>
      </c>
      <c r="B5" s="62" t="s">
        <v>79</v>
      </c>
      <c r="C5" s="63" t="s">
        <v>79</v>
      </c>
      <c r="D5" s="64"/>
      <c r="E5" s="65"/>
      <c r="F5" s="63" t="s">
        <v>79</v>
      </c>
      <c r="G5" s="64"/>
    </row>
    <row r="6" spans="1:7" s="15" customFormat="1" ht="18.75" customHeight="1" x14ac:dyDescent="0.2">
      <c r="A6" s="66" t="s">
        <v>228</v>
      </c>
      <c r="B6" s="67" t="s">
        <v>79</v>
      </c>
      <c r="C6" s="68" t="s">
        <v>79</v>
      </c>
      <c r="D6" s="69"/>
      <c r="E6" s="70"/>
      <c r="F6" s="68" t="s">
        <v>79</v>
      </c>
      <c r="G6" s="69"/>
    </row>
    <row r="7" spans="1:7" s="15" customFormat="1" ht="18.75" customHeight="1" x14ac:dyDescent="0.2">
      <c r="A7" s="66" t="s">
        <v>229</v>
      </c>
      <c r="B7" s="67" t="s">
        <v>79</v>
      </c>
      <c r="C7" s="68" t="s">
        <v>95</v>
      </c>
      <c r="D7" s="69"/>
      <c r="E7" s="70"/>
      <c r="F7" s="68" t="s">
        <v>79</v>
      </c>
      <c r="G7" s="69"/>
    </row>
    <row r="8" spans="1:7" s="15" customFormat="1" ht="18.75" customHeight="1" x14ac:dyDescent="0.2">
      <c r="A8" s="66" t="s">
        <v>230</v>
      </c>
      <c r="B8" s="67" t="s">
        <v>79</v>
      </c>
      <c r="C8" s="68" t="s">
        <v>79</v>
      </c>
      <c r="D8" s="69"/>
      <c r="E8" s="70"/>
      <c r="F8" s="68" t="s">
        <v>79</v>
      </c>
      <c r="G8" s="69"/>
    </row>
    <row r="9" spans="1:7" s="15" customFormat="1" ht="18.75" customHeight="1" x14ac:dyDescent="0.2">
      <c r="A9" s="66" t="s">
        <v>231</v>
      </c>
      <c r="B9" s="67" t="s">
        <v>79</v>
      </c>
      <c r="C9" s="68" t="s">
        <v>95</v>
      </c>
      <c r="D9" s="69"/>
      <c r="E9" s="70"/>
      <c r="F9" s="68" t="s">
        <v>79</v>
      </c>
      <c r="G9" s="69"/>
    </row>
    <row r="10" spans="1:7" s="15" customFormat="1" ht="18.75" customHeight="1" x14ac:dyDescent="0.2">
      <c r="A10" s="66" t="s">
        <v>232</v>
      </c>
      <c r="B10" s="67" t="s">
        <v>79</v>
      </c>
      <c r="C10" s="68" t="s">
        <v>79</v>
      </c>
      <c r="D10" s="69"/>
      <c r="E10" s="70"/>
      <c r="F10" s="68" t="s">
        <v>79</v>
      </c>
      <c r="G10" s="69"/>
    </row>
    <row r="11" spans="1:7" s="15" customFormat="1" ht="18.75" customHeight="1" x14ac:dyDescent="0.2">
      <c r="A11" s="66" t="s">
        <v>233</v>
      </c>
      <c r="B11" s="67" t="s">
        <v>79</v>
      </c>
      <c r="C11" s="68" t="s">
        <v>79</v>
      </c>
      <c r="D11" s="69"/>
      <c r="E11" s="70"/>
      <c r="F11" s="68" t="s">
        <v>79</v>
      </c>
      <c r="G11" s="69"/>
    </row>
    <row r="12" spans="1:7" s="15" customFormat="1" ht="18.75" customHeight="1" x14ac:dyDescent="0.2">
      <c r="A12" s="66" t="s">
        <v>234</v>
      </c>
      <c r="B12" s="67" t="s">
        <v>79</v>
      </c>
      <c r="C12" s="68" t="s">
        <v>95</v>
      </c>
      <c r="D12" s="69"/>
      <c r="E12" s="70"/>
      <c r="F12" s="68" t="s">
        <v>79</v>
      </c>
      <c r="G12" s="69"/>
    </row>
    <row r="13" spans="1:7" s="15" customFormat="1" ht="18.75" customHeight="1" x14ac:dyDescent="0.2">
      <c r="A13" s="66" t="s">
        <v>235</v>
      </c>
      <c r="B13" s="67" t="s">
        <v>79</v>
      </c>
      <c r="C13" s="68" t="s">
        <v>79</v>
      </c>
      <c r="D13" s="69"/>
      <c r="E13" s="70"/>
      <c r="F13" s="68" t="s">
        <v>79</v>
      </c>
      <c r="G13" s="69"/>
    </row>
    <row r="14" spans="1:7" s="15" customFormat="1" ht="18.75" customHeight="1" x14ac:dyDescent="0.2">
      <c r="A14" s="66" t="s">
        <v>236</v>
      </c>
      <c r="B14" s="67" t="s">
        <v>79</v>
      </c>
      <c r="C14" s="68" t="s">
        <v>79</v>
      </c>
      <c r="D14" s="69"/>
      <c r="E14" s="70"/>
      <c r="F14" s="68" t="s">
        <v>79</v>
      </c>
      <c r="G14" s="69"/>
    </row>
    <row r="15" spans="1:7" s="15" customFormat="1" ht="18.75" customHeight="1" x14ac:dyDescent="0.2">
      <c r="A15" s="66" t="s">
        <v>237</v>
      </c>
      <c r="B15" s="67"/>
      <c r="C15" s="68" t="s">
        <v>79</v>
      </c>
      <c r="D15" s="69"/>
      <c r="E15" s="70"/>
      <c r="F15" s="68" t="s">
        <v>79</v>
      </c>
      <c r="G15" s="69"/>
    </row>
    <row r="16" spans="1:7" s="15" customFormat="1" ht="18.75" customHeight="1" x14ac:dyDescent="0.2">
      <c r="A16" s="66" t="s">
        <v>238</v>
      </c>
      <c r="B16" s="67"/>
      <c r="C16" s="68" t="s">
        <v>95</v>
      </c>
      <c r="D16" s="69"/>
      <c r="E16" s="70"/>
      <c r="F16" s="68" t="s">
        <v>79</v>
      </c>
      <c r="G16" s="69"/>
    </row>
    <row r="17" spans="1:7" s="15" customFormat="1" ht="18.75" customHeight="1" x14ac:dyDescent="0.2">
      <c r="A17" s="66" t="s">
        <v>239</v>
      </c>
      <c r="B17" s="67"/>
      <c r="C17" s="68" t="s">
        <v>79</v>
      </c>
      <c r="D17" s="69"/>
      <c r="E17" s="70"/>
      <c r="F17" s="68" t="s">
        <v>79</v>
      </c>
      <c r="G17" s="69"/>
    </row>
    <row r="18" spans="1:7" s="15" customFormat="1" ht="18.75" customHeight="1" x14ac:dyDescent="0.2">
      <c r="A18" s="66" t="s">
        <v>240</v>
      </c>
      <c r="B18" s="67"/>
      <c r="C18" s="68" t="s">
        <v>79</v>
      </c>
      <c r="D18" s="69"/>
      <c r="E18" s="70"/>
      <c r="F18" s="68" t="s">
        <v>79</v>
      </c>
      <c r="G18" s="69"/>
    </row>
    <row r="19" spans="1:7" s="15" customFormat="1" ht="18.75" customHeight="1" x14ac:dyDescent="0.2">
      <c r="A19" s="66" t="s">
        <v>241</v>
      </c>
      <c r="B19" s="67"/>
      <c r="C19" s="68" t="s">
        <v>95</v>
      </c>
      <c r="D19" s="69"/>
      <c r="E19" s="70"/>
      <c r="F19" s="68" t="s">
        <v>79</v>
      </c>
      <c r="G19" s="69"/>
    </row>
    <row r="20" spans="1:7" s="15" customFormat="1" ht="18.75" customHeight="1" x14ac:dyDescent="0.2">
      <c r="A20" s="66" t="s">
        <v>242</v>
      </c>
      <c r="B20" s="67"/>
      <c r="C20" s="68" t="s">
        <v>79</v>
      </c>
      <c r="D20" s="69"/>
      <c r="E20" s="70"/>
      <c r="F20" s="68" t="s">
        <v>79</v>
      </c>
      <c r="G20" s="69"/>
    </row>
    <row r="21" spans="1:7" s="15" customFormat="1" ht="18.75" customHeight="1" x14ac:dyDescent="0.2">
      <c r="A21" s="66" t="s">
        <v>243</v>
      </c>
      <c r="B21" s="67"/>
      <c r="C21" s="68" t="s">
        <v>95</v>
      </c>
      <c r="D21" s="69"/>
      <c r="E21" s="70"/>
      <c r="F21" s="68" t="s">
        <v>79</v>
      </c>
      <c r="G21" s="69"/>
    </row>
    <row r="22" spans="1:7" s="15" customFormat="1" ht="18.75" customHeight="1" x14ac:dyDescent="0.2">
      <c r="A22" s="66" t="s">
        <v>244</v>
      </c>
      <c r="B22" s="67"/>
      <c r="C22" s="68" t="s">
        <v>79</v>
      </c>
      <c r="D22" s="69"/>
      <c r="E22" s="70"/>
      <c r="F22" s="68" t="s">
        <v>79</v>
      </c>
      <c r="G22" s="69"/>
    </row>
    <row r="23" spans="1:7" s="15" customFormat="1" ht="18.75" customHeight="1" x14ac:dyDescent="0.2">
      <c r="A23" s="66" t="s">
        <v>245</v>
      </c>
      <c r="B23" s="67"/>
      <c r="C23" s="68" t="s">
        <v>79</v>
      </c>
      <c r="D23" s="69"/>
      <c r="E23" s="70"/>
      <c r="F23" s="68" t="s">
        <v>79</v>
      </c>
      <c r="G23" s="69"/>
    </row>
    <row r="24" spans="1:7" s="15" customFormat="1" ht="18.75" customHeight="1" x14ac:dyDescent="0.2">
      <c r="A24" s="66" t="s">
        <v>246</v>
      </c>
      <c r="B24" s="67"/>
      <c r="C24" s="68" t="s">
        <v>79</v>
      </c>
      <c r="D24" s="69"/>
      <c r="E24" s="70"/>
      <c r="F24" s="68" t="s">
        <v>79</v>
      </c>
      <c r="G24" s="69"/>
    </row>
    <row r="25" spans="1:7" s="15" customFormat="1" ht="18.75" customHeight="1" x14ac:dyDescent="0.2">
      <c r="A25" s="66" t="s">
        <v>247</v>
      </c>
      <c r="B25" s="67"/>
      <c r="C25" s="68" t="s">
        <v>248</v>
      </c>
      <c r="D25" s="69"/>
      <c r="E25" s="70"/>
      <c r="F25" s="68" t="s">
        <v>79</v>
      </c>
      <c r="G25" s="69"/>
    </row>
    <row r="26" spans="1:7" s="15" customFormat="1" ht="18.75" customHeight="1" x14ac:dyDescent="0.2">
      <c r="A26" s="66" t="s">
        <v>249</v>
      </c>
      <c r="B26" s="67"/>
      <c r="C26" s="68" t="s">
        <v>15</v>
      </c>
      <c r="D26" s="69"/>
      <c r="E26" s="70"/>
      <c r="F26" s="68" t="s">
        <v>250</v>
      </c>
      <c r="G26" s="69"/>
    </row>
    <row r="27" spans="1:7" s="15" customFormat="1" ht="18.75" customHeight="1" x14ac:dyDescent="0.2">
      <c r="A27" s="66" t="s">
        <v>251</v>
      </c>
      <c r="B27" s="67"/>
      <c r="C27" s="68" t="s">
        <v>15</v>
      </c>
      <c r="D27" s="69" t="s">
        <v>252</v>
      </c>
      <c r="E27" s="70"/>
      <c r="F27" s="68" t="s">
        <v>79</v>
      </c>
      <c r="G27" s="69"/>
    </row>
    <row r="28" spans="1:7" s="15" customFormat="1" ht="18.75" customHeight="1" thickBot="1" x14ac:dyDescent="0.25">
      <c r="A28" s="71" t="s">
        <v>253</v>
      </c>
      <c r="B28" s="72"/>
      <c r="C28" s="73" t="s">
        <v>15</v>
      </c>
      <c r="D28" s="74" t="s">
        <v>254</v>
      </c>
      <c r="E28" s="75"/>
      <c r="F28" s="73" t="s">
        <v>250</v>
      </c>
      <c r="G28" s="74"/>
    </row>
    <row r="29" spans="1:7" s="15" customFormat="1" ht="18.75" customHeight="1" thickTop="1" thickBot="1" x14ac:dyDescent="0.25">
      <c r="A29" s="76"/>
      <c r="B29" s="56" t="s">
        <v>255</v>
      </c>
      <c r="C29" s="57" t="s">
        <v>256</v>
      </c>
      <c r="D29" s="58" t="s">
        <v>378</v>
      </c>
      <c r="E29" s="59" t="s">
        <v>255</v>
      </c>
      <c r="F29" s="57" t="s">
        <v>256</v>
      </c>
      <c r="G29" s="58" t="s">
        <v>378</v>
      </c>
    </row>
    <row r="30" spans="1:7" s="15" customFormat="1" ht="18.75" customHeight="1" thickTop="1" x14ac:dyDescent="0.2">
      <c r="A30" s="77" t="s">
        <v>257</v>
      </c>
      <c r="B30" s="78" t="s">
        <v>15</v>
      </c>
      <c r="C30" s="79" t="s">
        <v>248</v>
      </c>
      <c r="D30" s="80" t="s">
        <v>258</v>
      </c>
      <c r="E30" s="81"/>
      <c r="F30" s="79" t="s">
        <v>248</v>
      </c>
      <c r="G30" s="80"/>
    </row>
    <row r="31" spans="1:7" s="15" customFormat="1" ht="18.75" customHeight="1" x14ac:dyDescent="0.2">
      <c r="A31" s="66" t="s">
        <v>259</v>
      </c>
      <c r="B31" s="67" t="s">
        <v>15</v>
      </c>
      <c r="C31" s="68" t="s">
        <v>15</v>
      </c>
      <c r="D31" s="69" t="s">
        <v>260</v>
      </c>
      <c r="E31" s="70"/>
      <c r="F31" s="68" t="s">
        <v>79</v>
      </c>
      <c r="G31" s="69"/>
    </row>
    <row r="32" spans="1:7" s="15" customFormat="1" ht="18.75" customHeight="1" x14ac:dyDescent="0.2">
      <c r="A32" s="66" t="s">
        <v>261</v>
      </c>
      <c r="B32" s="67" t="s">
        <v>15</v>
      </c>
      <c r="C32" s="68" t="s">
        <v>79</v>
      </c>
      <c r="D32" s="69" t="s">
        <v>262</v>
      </c>
      <c r="E32" s="70"/>
      <c r="F32" s="68" t="s">
        <v>248</v>
      </c>
      <c r="G32" s="69"/>
    </row>
    <row r="33" spans="1:7" s="15" customFormat="1" ht="18.75" customHeight="1" x14ac:dyDescent="0.2">
      <c r="A33" s="66" t="s">
        <v>263</v>
      </c>
      <c r="B33" s="67" t="s">
        <v>79</v>
      </c>
      <c r="C33" s="68" t="s">
        <v>15</v>
      </c>
      <c r="D33" s="69" t="s">
        <v>260</v>
      </c>
      <c r="E33" s="70"/>
      <c r="F33" s="68" t="s">
        <v>248</v>
      </c>
      <c r="G33" s="69"/>
    </row>
    <row r="34" spans="1:7" s="15" customFormat="1" ht="18.75" customHeight="1" x14ac:dyDescent="0.2">
      <c r="A34" s="66" t="s">
        <v>264</v>
      </c>
      <c r="B34" s="67" t="s">
        <v>248</v>
      </c>
      <c r="C34" s="68" t="s">
        <v>15</v>
      </c>
      <c r="D34" s="69" t="s">
        <v>260</v>
      </c>
      <c r="E34" s="70"/>
      <c r="F34" s="68" t="s">
        <v>248</v>
      </c>
      <c r="G34" s="69"/>
    </row>
    <row r="35" spans="1:7" s="15" customFormat="1" ht="18.75" customHeight="1" x14ac:dyDescent="0.2">
      <c r="A35" s="66" t="s">
        <v>265</v>
      </c>
      <c r="B35" s="67" t="s">
        <v>15</v>
      </c>
      <c r="C35" s="68" t="s">
        <v>15</v>
      </c>
      <c r="D35" s="69" t="s">
        <v>260</v>
      </c>
      <c r="E35" s="70"/>
      <c r="F35" s="68" t="s">
        <v>248</v>
      </c>
      <c r="G35" s="69" t="s">
        <v>266</v>
      </c>
    </row>
    <row r="36" spans="1:7" s="15" customFormat="1" ht="18.75" customHeight="1" x14ac:dyDescent="0.2">
      <c r="A36" s="66" t="s">
        <v>267</v>
      </c>
      <c r="B36" s="67" t="s">
        <v>15</v>
      </c>
      <c r="C36" s="68" t="s">
        <v>190</v>
      </c>
      <c r="D36" s="69" t="s">
        <v>260</v>
      </c>
      <c r="E36" s="70"/>
      <c r="F36" s="68" t="s">
        <v>248</v>
      </c>
      <c r="G36" s="69" t="s">
        <v>266</v>
      </c>
    </row>
    <row r="37" spans="1:7" s="15" customFormat="1" ht="18.75" customHeight="1" x14ac:dyDescent="0.2">
      <c r="A37" s="66" t="s">
        <v>268</v>
      </c>
      <c r="B37" s="67" t="s">
        <v>15</v>
      </c>
      <c r="C37" s="68" t="s">
        <v>190</v>
      </c>
      <c r="D37" s="69" t="s">
        <v>269</v>
      </c>
      <c r="E37" s="70"/>
      <c r="F37" s="68" t="s">
        <v>248</v>
      </c>
      <c r="G37" s="69" t="s">
        <v>270</v>
      </c>
    </row>
    <row r="38" spans="1:7" s="15" customFormat="1" ht="18.75" customHeight="1" x14ac:dyDescent="0.2">
      <c r="A38" s="66" t="s">
        <v>271</v>
      </c>
      <c r="B38" s="67" t="s">
        <v>15</v>
      </c>
      <c r="C38" s="68" t="s">
        <v>190</v>
      </c>
      <c r="D38" s="69" t="s">
        <v>272</v>
      </c>
      <c r="E38" s="70"/>
      <c r="F38" s="68" t="s">
        <v>79</v>
      </c>
      <c r="G38" s="69" t="s">
        <v>270</v>
      </c>
    </row>
    <row r="39" spans="1:7" s="15" customFormat="1" ht="18.75" customHeight="1" x14ac:dyDescent="0.2">
      <c r="A39" s="66" t="s">
        <v>273</v>
      </c>
      <c r="B39" s="67" t="s">
        <v>15</v>
      </c>
      <c r="C39" s="68" t="s">
        <v>190</v>
      </c>
      <c r="D39" s="69" t="s">
        <v>274</v>
      </c>
      <c r="E39" s="70"/>
      <c r="F39" s="68" t="s">
        <v>248</v>
      </c>
      <c r="G39" s="69" t="s">
        <v>275</v>
      </c>
    </row>
    <row r="40" spans="1:7" s="15" customFormat="1" ht="18.75" customHeight="1" x14ac:dyDescent="0.2">
      <c r="A40" s="66" t="s">
        <v>276</v>
      </c>
      <c r="B40" s="67" t="s">
        <v>213</v>
      </c>
      <c r="C40" s="68" t="s">
        <v>15</v>
      </c>
      <c r="D40" s="69" t="s">
        <v>277</v>
      </c>
      <c r="E40" s="70"/>
      <c r="F40" s="68" t="s">
        <v>79</v>
      </c>
      <c r="G40" s="69" t="s">
        <v>278</v>
      </c>
    </row>
    <row r="41" spans="1:7" s="15" customFormat="1" ht="18.75" customHeight="1" x14ac:dyDescent="0.2">
      <c r="A41" s="66" t="s">
        <v>279</v>
      </c>
      <c r="B41" s="67" t="s">
        <v>15</v>
      </c>
      <c r="C41" s="68" t="s">
        <v>190</v>
      </c>
      <c r="D41" s="69" t="s">
        <v>280</v>
      </c>
      <c r="E41" s="70"/>
      <c r="F41" s="68" t="s">
        <v>213</v>
      </c>
      <c r="G41" s="69" t="s">
        <v>281</v>
      </c>
    </row>
    <row r="42" spans="1:7" s="15" customFormat="1" ht="18.75" customHeight="1" x14ac:dyDescent="0.2">
      <c r="A42" s="66" t="s">
        <v>282</v>
      </c>
      <c r="B42" s="67" t="s">
        <v>191</v>
      </c>
      <c r="C42" s="68" t="s">
        <v>190</v>
      </c>
      <c r="D42" s="69" t="s">
        <v>283</v>
      </c>
      <c r="E42" s="70"/>
      <c r="F42" s="68" t="s">
        <v>213</v>
      </c>
      <c r="G42" s="69" t="s">
        <v>284</v>
      </c>
    </row>
    <row r="43" spans="1:7" s="15" customFormat="1" ht="18.75" customHeight="1" x14ac:dyDescent="0.2">
      <c r="A43" s="66" t="s">
        <v>285</v>
      </c>
      <c r="B43" s="67" t="s">
        <v>191</v>
      </c>
      <c r="C43" s="68" t="s">
        <v>15</v>
      </c>
      <c r="D43" s="69" t="s">
        <v>286</v>
      </c>
      <c r="E43" s="70" t="s">
        <v>70</v>
      </c>
      <c r="F43" s="68" t="s">
        <v>213</v>
      </c>
      <c r="G43" s="69" t="s">
        <v>287</v>
      </c>
    </row>
    <row r="44" spans="1:7" s="15" customFormat="1" ht="18.75" customHeight="1" x14ac:dyDescent="0.2">
      <c r="A44" s="66" t="s">
        <v>288</v>
      </c>
      <c r="B44" s="67" t="s">
        <v>15</v>
      </c>
      <c r="C44" s="68" t="s">
        <v>15</v>
      </c>
      <c r="D44" s="69" t="s">
        <v>289</v>
      </c>
      <c r="E44" s="70" t="s">
        <v>72</v>
      </c>
      <c r="F44" s="68" t="s">
        <v>70</v>
      </c>
      <c r="G44" s="69" t="s">
        <v>290</v>
      </c>
    </row>
    <row r="45" spans="1:7" s="15" customFormat="1" ht="18.75" customHeight="1" thickBot="1" x14ac:dyDescent="0.25">
      <c r="A45" s="82" t="s">
        <v>291</v>
      </c>
      <c r="B45" s="83" t="s">
        <v>15</v>
      </c>
      <c r="C45" s="84" t="s">
        <v>15</v>
      </c>
      <c r="D45" s="85" t="s">
        <v>292</v>
      </c>
      <c r="E45" s="86" t="s">
        <v>72</v>
      </c>
      <c r="F45" s="84" t="s">
        <v>72</v>
      </c>
      <c r="G45" s="85" t="s">
        <v>290</v>
      </c>
    </row>
    <row r="46" spans="1:7" s="15" customFormat="1" ht="18.75" customHeight="1" thickTop="1" thickBot="1" x14ac:dyDescent="0.25">
      <c r="A46" s="14"/>
      <c r="B46" s="14"/>
      <c r="C46" s="14"/>
      <c r="D46" s="14"/>
      <c r="E46" s="14"/>
      <c r="F46" s="14"/>
      <c r="G46" s="14"/>
    </row>
    <row r="47" spans="1:7" s="15" customFormat="1" ht="18.75" customHeight="1" thickTop="1" thickBot="1" x14ac:dyDescent="0.25">
      <c r="A47" s="565" t="s">
        <v>208</v>
      </c>
      <c r="B47" s="567" t="s">
        <v>186</v>
      </c>
      <c r="C47" s="568"/>
      <c r="D47" s="569"/>
      <c r="E47" s="567" t="s">
        <v>187</v>
      </c>
      <c r="F47" s="568"/>
      <c r="G47" s="570"/>
    </row>
    <row r="48" spans="1:7" s="15" customFormat="1" ht="18.75" customHeight="1" thickTop="1" thickBot="1" x14ac:dyDescent="0.25">
      <c r="A48" s="566"/>
      <c r="B48" s="56" t="s">
        <v>255</v>
      </c>
      <c r="C48" s="57" t="s">
        <v>158</v>
      </c>
      <c r="D48" s="58" t="s">
        <v>378</v>
      </c>
      <c r="E48" s="59" t="s">
        <v>255</v>
      </c>
      <c r="F48" s="57" t="s">
        <v>158</v>
      </c>
      <c r="G48" s="58" t="s">
        <v>378</v>
      </c>
    </row>
    <row r="49" spans="1:7" s="15" customFormat="1" ht="18.75" customHeight="1" thickTop="1" x14ac:dyDescent="0.2">
      <c r="A49" s="66" t="s">
        <v>293</v>
      </c>
      <c r="B49" s="78" t="s">
        <v>210</v>
      </c>
      <c r="C49" s="79" t="s">
        <v>94</v>
      </c>
      <c r="D49" s="80" t="s">
        <v>104</v>
      </c>
      <c r="E49" s="81" t="s">
        <v>72</v>
      </c>
      <c r="F49" s="79" t="s">
        <v>72</v>
      </c>
      <c r="G49" s="80" t="s">
        <v>294</v>
      </c>
    </row>
    <row r="50" spans="1:7" s="15" customFormat="1" ht="18.75" customHeight="1" x14ac:dyDescent="0.2">
      <c r="A50" s="66" t="s">
        <v>295</v>
      </c>
      <c r="B50" s="67" t="s">
        <v>211</v>
      </c>
      <c r="C50" s="68" t="s">
        <v>210</v>
      </c>
      <c r="D50" s="69" t="s">
        <v>296</v>
      </c>
      <c r="E50" s="70" t="s">
        <v>72</v>
      </c>
      <c r="F50" s="68" t="s">
        <v>72</v>
      </c>
      <c r="G50" s="69" t="s">
        <v>297</v>
      </c>
    </row>
    <row r="51" spans="1:7" s="15" customFormat="1" ht="18.75" customHeight="1" x14ac:dyDescent="0.2">
      <c r="A51" s="66" t="s">
        <v>298</v>
      </c>
      <c r="B51" s="67" t="s">
        <v>210</v>
      </c>
      <c r="C51" s="68" t="s">
        <v>94</v>
      </c>
      <c r="D51" s="69" t="s">
        <v>299</v>
      </c>
      <c r="E51" s="70" t="s">
        <v>72</v>
      </c>
      <c r="F51" s="68" t="s">
        <v>72</v>
      </c>
      <c r="G51" s="69" t="s">
        <v>300</v>
      </c>
    </row>
    <row r="52" spans="1:7" s="15" customFormat="1" ht="18.75" customHeight="1" x14ac:dyDescent="0.2">
      <c r="A52" s="66" t="s">
        <v>301</v>
      </c>
      <c r="B52" s="67" t="s">
        <v>210</v>
      </c>
      <c r="C52" s="68" t="s">
        <v>94</v>
      </c>
      <c r="D52" s="69" t="s">
        <v>302</v>
      </c>
      <c r="E52" s="70" t="s">
        <v>72</v>
      </c>
      <c r="F52" s="68" t="s">
        <v>72</v>
      </c>
      <c r="G52" s="69" t="s">
        <v>303</v>
      </c>
    </row>
    <row r="53" spans="1:7" s="15" customFormat="1" ht="18.75" customHeight="1" x14ac:dyDescent="0.2">
      <c r="A53" s="66" t="s">
        <v>304</v>
      </c>
      <c r="B53" s="67" t="s">
        <v>72</v>
      </c>
      <c r="C53" s="68" t="s">
        <v>72</v>
      </c>
      <c r="D53" s="69" t="s">
        <v>305</v>
      </c>
      <c r="E53" s="70" t="s">
        <v>72</v>
      </c>
      <c r="F53" s="68" t="s">
        <v>72</v>
      </c>
      <c r="G53" s="69" t="s">
        <v>303</v>
      </c>
    </row>
    <row r="54" spans="1:7" s="15" customFormat="1" ht="18.75" customHeight="1" x14ac:dyDescent="0.2">
      <c r="A54" s="66" t="s">
        <v>306</v>
      </c>
      <c r="B54" s="67" t="s">
        <v>191</v>
      </c>
      <c r="C54" s="68" t="s">
        <v>79</v>
      </c>
      <c r="D54" s="69" t="s">
        <v>307</v>
      </c>
      <c r="E54" s="70" t="s">
        <v>72</v>
      </c>
      <c r="F54" s="68" t="s">
        <v>72</v>
      </c>
      <c r="G54" s="69" t="s">
        <v>308</v>
      </c>
    </row>
    <row r="55" spans="1:7" s="15" customFormat="1" ht="18.75" customHeight="1" x14ac:dyDescent="0.2">
      <c r="A55" s="66" t="s">
        <v>309</v>
      </c>
      <c r="B55" s="67" t="s">
        <v>210</v>
      </c>
      <c r="C55" s="68" t="s">
        <v>94</v>
      </c>
      <c r="D55" s="69" t="s">
        <v>310</v>
      </c>
      <c r="E55" s="70" t="s">
        <v>79</v>
      </c>
      <c r="F55" s="68" t="s">
        <v>72</v>
      </c>
      <c r="G55" s="69" t="s">
        <v>311</v>
      </c>
    </row>
    <row r="56" spans="1:7" s="15" customFormat="1" ht="18.75" customHeight="1" x14ac:dyDescent="0.2">
      <c r="A56" s="66" t="s">
        <v>312</v>
      </c>
      <c r="B56" s="67" t="s">
        <v>94</v>
      </c>
      <c r="C56" s="68" t="s">
        <v>94</v>
      </c>
      <c r="D56" s="69" t="s">
        <v>105</v>
      </c>
      <c r="E56" s="70" t="s">
        <v>72</v>
      </c>
      <c r="F56" s="68" t="s">
        <v>72</v>
      </c>
      <c r="G56" s="69" t="s">
        <v>313</v>
      </c>
    </row>
    <row r="57" spans="1:7" s="15" customFormat="1" ht="18.75" customHeight="1" x14ac:dyDescent="0.2">
      <c r="A57" s="66" t="s">
        <v>314</v>
      </c>
      <c r="B57" s="67" t="s">
        <v>72</v>
      </c>
      <c r="C57" s="68" t="s">
        <v>210</v>
      </c>
      <c r="D57" s="69" t="s">
        <v>105</v>
      </c>
      <c r="E57" s="70" t="s">
        <v>72</v>
      </c>
      <c r="F57" s="68" t="s">
        <v>213</v>
      </c>
      <c r="G57" s="69" t="s">
        <v>315</v>
      </c>
    </row>
    <row r="58" spans="1:7" s="15" customFormat="1" ht="18.75" customHeight="1" thickBot="1" x14ac:dyDescent="0.25">
      <c r="A58" s="66" t="s">
        <v>316</v>
      </c>
      <c r="B58" s="72" t="s">
        <v>72</v>
      </c>
      <c r="C58" s="73" t="s">
        <v>210</v>
      </c>
      <c r="D58" s="74" t="s">
        <v>317</v>
      </c>
      <c r="E58" s="75" t="s">
        <v>70</v>
      </c>
      <c r="F58" s="73" t="s">
        <v>79</v>
      </c>
      <c r="G58" s="74" t="s">
        <v>318</v>
      </c>
    </row>
    <row r="59" spans="1:7" s="15" customFormat="1" ht="18.75" customHeight="1" thickTop="1" thickBot="1" x14ac:dyDescent="0.25">
      <c r="A59" s="66"/>
      <c r="B59" s="56" t="s">
        <v>319</v>
      </c>
      <c r="C59" s="57" t="s">
        <v>158</v>
      </c>
      <c r="D59" s="58" t="s">
        <v>378</v>
      </c>
      <c r="E59" s="59" t="s">
        <v>319</v>
      </c>
      <c r="F59" s="57" t="s">
        <v>158</v>
      </c>
      <c r="G59" s="58" t="s">
        <v>378</v>
      </c>
    </row>
    <row r="60" spans="1:7" s="15" customFormat="1" ht="18.75" customHeight="1" thickTop="1" x14ac:dyDescent="0.2">
      <c r="A60" s="66" t="s">
        <v>320</v>
      </c>
      <c r="B60" s="78" t="s">
        <v>210</v>
      </c>
      <c r="C60" s="79" t="s">
        <v>72</v>
      </c>
      <c r="D60" s="80" t="s">
        <v>106</v>
      </c>
      <c r="E60" s="81" t="s">
        <v>79</v>
      </c>
      <c r="F60" s="79" t="s">
        <v>94</v>
      </c>
      <c r="G60" s="80" t="s">
        <v>102</v>
      </c>
    </row>
    <row r="61" spans="1:7" s="15" customFormat="1" ht="18.75" customHeight="1" x14ac:dyDescent="0.2">
      <c r="A61" s="66" t="s">
        <v>321</v>
      </c>
      <c r="B61" s="67" t="s">
        <v>72</v>
      </c>
      <c r="C61" s="68" t="s">
        <v>94</v>
      </c>
      <c r="D61" s="69" t="s">
        <v>322</v>
      </c>
      <c r="E61" s="70" t="s">
        <v>79</v>
      </c>
      <c r="F61" s="68" t="s">
        <v>323</v>
      </c>
      <c r="G61" s="69" t="s">
        <v>108</v>
      </c>
    </row>
    <row r="62" spans="1:7" s="15" customFormat="1" ht="18.75" customHeight="1" x14ac:dyDescent="0.2">
      <c r="A62" s="66" t="s">
        <v>324</v>
      </c>
      <c r="B62" s="67" t="s">
        <v>94</v>
      </c>
      <c r="C62" s="68" t="s">
        <v>100</v>
      </c>
      <c r="D62" s="69" t="s">
        <v>325</v>
      </c>
      <c r="E62" s="70" t="s">
        <v>79</v>
      </c>
      <c r="F62" s="68" t="s">
        <v>72</v>
      </c>
      <c r="G62" s="69" t="s">
        <v>326</v>
      </c>
    </row>
    <row r="63" spans="1:7" s="15" customFormat="1" ht="18.75" customHeight="1" x14ac:dyDescent="0.2">
      <c r="A63" s="66" t="s">
        <v>327</v>
      </c>
      <c r="B63" s="67" t="s">
        <v>79</v>
      </c>
      <c r="C63" s="68" t="s">
        <v>94</v>
      </c>
      <c r="D63" s="69" t="s">
        <v>80</v>
      </c>
      <c r="E63" s="70" t="s">
        <v>79</v>
      </c>
      <c r="F63" s="68" t="s">
        <v>79</v>
      </c>
      <c r="G63" s="69" t="s">
        <v>81</v>
      </c>
    </row>
    <row r="64" spans="1:7" s="15" customFormat="1" ht="18.75" customHeight="1" x14ac:dyDescent="0.2">
      <c r="A64" s="71" t="s">
        <v>328</v>
      </c>
      <c r="B64" s="67" t="s">
        <v>94</v>
      </c>
      <c r="C64" s="68" t="s">
        <v>100</v>
      </c>
      <c r="D64" s="69" t="s">
        <v>12</v>
      </c>
      <c r="E64" s="70" t="s">
        <v>79</v>
      </c>
      <c r="F64" s="68" t="s">
        <v>100</v>
      </c>
      <c r="G64" s="69" t="s">
        <v>109</v>
      </c>
    </row>
    <row r="65" spans="1:7" s="15" customFormat="1" ht="18.75" customHeight="1" x14ac:dyDescent="0.2">
      <c r="A65" s="71" t="s">
        <v>11</v>
      </c>
      <c r="B65" s="72" t="s">
        <v>79</v>
      </c>
      <c r="C65" s="73" t="s">
        <v>94</v>
      </c>
      <c r="D65" s="74" t="s">
        <v>107</v>
      </c>
      <c r="E65" s="75" t="s">
        <v>70</v>
      </c>
      <c r="F65" s="73" t="s">
        <v>72</v>
      </c>
      <c r="G65" s="74" t="s">
        <v>17</v>
      </c>
    </row>
    <row r="66" spans="1:7" s="15" customFormat="1" ht="18.75" customHeight="1" x14ac:dyDescent="0.2">
      <c r="A66" s="66" t="s">
        <v>16</v>
      </c>
      <c r="B66" s="67" t="s">
        <v>15</v>
      </c>
      <c r="C66" s="68" t="s">
        <v>79</v>
      </c>
      <c r="D66" s="69" t="s">
        <v>99</v>
      </c>
      <c r="E66" s="70" t="s">
        <v>79</v>
      </c>
      <c r="F66" s="68" t="s">
        <v>100</v>
      </c>
      <c r="G66" s="69" t="s">
        <v>101</v>
      </c>
    </row>
    <row r="67" spans="1:7" s="15" customFormat="1" ht="18.75" customHeight="1" x14ac:dyDescent="0.2">
      <c r="A67" s="66" t="s">
        <v>97</v>
      </c>
      <c r="B67" s="67" t="s">
        <v>79</v>
      </c>
      <c r="C67" s="68" t="s">
        <v>100</v>
      </c>
      <c r="D67" s="69" t="s">
        <v>102</v>
      </c>
      <c r="E67" s="70" t="s">
        <v>79</v>
      </c>
      <c r="F67" s="68" t="s">
        <v>72</v>
      </c>
      <c r="G67" s="69" t="s">
        <v>103</v>
      </c>
    </row>
    <row r="68" spans="1:7" s="15" customFormat="1" ht="18.75" customHeight="1" x14ac:dyDescent="0.2">
      <c r="A68" s="66" t="s">
        <v>98</v>
      </c>
      <c r="B68" s="67" t="s">
        <v>79</v>
      </c>
      <c r="C68" s="68" t="s">
        <v>72</v>
      </c>
      <c r="D68" s="123" t="s">
        <v>87</v>
      </c>
      <c r="E68" s="70" t="s">
        <v>79</v>
      </c>
      <c r="F68" s="68" t="s">
        <v>323</v>
      </c>
      <c r="G68" s="69" t="s">
        <v>103</v>
      </c>
    </row>
    <row r="69" spans="1:7" s="15" customFormat="1" ht="18.75" customHeight="1" x14ac:dyDescent="0.2">
      <c r="A69" s="142" t="s">
        <v>86</v>
      </c>
      <c r="B69" s="67" t="s">
        <v>15</v>
      </c>
      <c r="C69" s="68" t="s">
        <v>79</v>
      </c>
      <c r="D69" s="69" t="s">
        <v>76</v>
      </c>
      <c r="E69" s="70" t="s">
        <v>79</v>
      </c>
      <c r="F69" s="68" t="s">
        <v>15</v>
      </c>
      <c r="G69" s="69" t="s">
        <v>77</v>
      </c>
    </row>
    <row r="70" spans="1:7" s="15" customFormat="1" ht="18.75" customHeight="1" x14ac:dyDescent="0.2">
      <c r="A70" s="66" t="s">
        <v>75</v>
      </c>
      <c r="B70" s="67" t="s">
        <v>15</v>
      </c>
      <c r="C70" s="68" t="s">
        <v>15</v>
      </c>
      <c r="D70" s="69" t="s">
        <v>58</v>
      </c>
      <c r="E70" s="70" t="s">
        <v>93</v>
      </c>
      <c r="F70" s="68" t="s">
        <v>15</v>
      </c>
      <c r="G70" s="69" t="s">
        <v>77</v>
      </c>
    </row>
    <row r="71" spans="1:7" s="15" customFormat="1" ht="18.75" customHeight="1" x14ac:dyDescent="0.2">
      <c r="A71" s="66" t="s">
        <v>57</v>
      </c>
      <c r="B71" s="67" t="s">
        <v>15</v>
      </c>
      <c r="C71" s="68" t="s">
        <v>94</v>
      </c>
      <c r="D71" s="123" t="s">
        <v>39</v>
      </c>
      <c r="E71" s="70" t="s">
        <v>15</v>
      </c>
      <c r="F71" s="68" t="s">
        <v>191</v>
      </c>
      <c r="G71" s="123" t="s">
        <v>40</v>
      </c>
    </row>
    <row r="72" spans="1:7" s="15" customFormat="1" ht="18.75" customHeight="1" x14ac:dyDescent="0.2">
      <c r="A72" s="66" t="s">
        <v>38</v>
      </c>
      <c r="B72" s="67" t="s">
        <v>95</v>
      </c>
      <c r="C72" s="68" t="s">
        <v>15</v>
      </c>
      <c r="D72" s="123" t="s">
        <v>45</v>
      </c>
      <c r="E72" s="70" t="s">
        <v>191</v>
      </c>
      <c r="F72" s="68" t="s">
        <v>124</v>
      </c>
      <c r="G72" s="123" t="s">
        <v>46</v>
      </c>
    </row>
    <row r="73" spans="1:7" s="15" customFormat="1" ht="18.75" customHeight="1" x14ac:dyDescent="0.2">
      <c r="A73" s="66" t="s">
        <v>44</v>
      </c>
      <c r="B73" s="67" t="s">
        <v>193</v>
      </c>
      <c r="C73" s="68" t="s">
        <v>191</v>
      </c>
      <c r="D73" s="123" t="s">
        <v>45</v>
      </c>
      <c r="E73" s="70" t="s">
        <v>15</v>
      </c>
      <c r="F73" s="68" t="s">
        <v>79</v>
      </c>
      <c r="G73" s="123" t="s">
        <v>10</v>
      </c>
    </row>
    <row r="74" spans="1:7" s="15" customFormat="1" ht="18.75" customHeight="1" x14ac:dyDescent="0.2">
      <c r="A74" s="66" t="s">
        <v>9</v>
      </c>
      <c r="B74" s="67" t="s">
        <v>191</v>
      </c>
      <c r="C74" s="68" t="s">
        <v>15</v>
      </c>
      <c r="D74" s="123" t="s">
        <v>3</v>
      </c>
      <c r="E74" s="70" t="s">
        <v>93</v>
      </c>
      <c r="F74" s="68" t="s">
        <v>15</v>
      </c>
      <c r="G74" s="123" t="s">
        <v>4</v>
      </c>
    </row>
    <row r="75" spans="1:7" s="15" customFormat="1" ht="18.75" customHeight="1" x14ac:dyDescent="0.2">
      <c r="A75" s="206" t="s">
        <v>2</v>
      </c>
      <c r="B75" s="207" t="s">
        <v>411</v>
      </c>
      <c r="C75" s="208" t="s">
        <v>412</v>
      </c>
      <c r="D75" s="209" t="s">
        <v>413</v>
      </c>
      <c r="E75" s="210" t="s">
        <v>414</v>
      </c>
      <c r="F75" s="208" t="s">
        <v>411</v>
      </c>
      <c r="G75" s="209" t="s">
        <v>415</v>
      </c>
    </row>
    <row r="76" spans="1:7" s="15" customFormat="1" ht="18.75" customHeight="1" x14ac:dyDescent="0.2">
      <c r="A76" s="191" t="s">
        <v>424</v>
      </c>
      <c r="B76" s="193" t="s">
        <v>407</v>
      </c>
      <c r="C76" s="194" t="s">
        <v>410</v>
      </c>
      <c r="D76" s="195" t="s">
        <v>425</v>
      </c>
      <c r="E76" s="196" t="s">
        <v>426</v>
      </c>
      <c r="F76" s="194" t="s">
        <v>407</v>
      </c>
      <c r="G76" s="195" t="s">
        <v>427</v>
      </c>
    </row>
    <row r="77" spans="1:7" s="15" customFormat="1" ht="18.75" customHeight="1" x14ac:dyDescent="0.2">
      <c r="A77" s="226" t="s">
        <v>439</v>
      </c>
      <c r="B77" s="227" t="s">
        <v>438</v>
      </c>
      <c r="C77" s="228" t="s">
        <v>436</v>
      </c>
      <c r="D77" s="229" t="s">
        <v>440</v>
      </c>
      <c r="E77" s="230" t="s">
        <v>438</v>
      </c>
      <c r="F77" s="228" t="s">
        <v>441</v>
      </c>
      <c r="G77" s="229" t="s">
        <v>427</v>
      </c>
    </row>
    <row r="78" spans="1:7" s="15" customFormat="1" ht="18.75" customHeight="1" x14ac:dyDescent="0.2">
      <c r="A78" s="206" t="s">
        <v>442</v>
      </c>
      <c r="B78" s="207" t="s">
        <v>451</v>
      </c>
      <c r="C78" s="208" t="s">
        <v>452</v>
      </c>
      <c r="D78" s="229" t="s">
        <v>440</v>
      </c>
      <c r="E78" s="210" t="s">
        <v>453</v>
      </c>
      <c r="F78" s="208" t="s">
        <v>451</v>
      </c>
      <c r="G78" s="363" t="s">
        <v>454</v>
      </c>
    </row>
    <row r="79" spans="1:7" s="15" customFormat="1" ht="18.75" customHeight="1" x14ac:dyDescent="0.2">
      <c r="A79" s="362" t="s">
        <v>455</v>
      </c>
      <c r="B79" s="562" t="s">
        <v>456</v>
      </c>
      <c r="C79" s="563"/>
      <c r="D79" s="563"/>
      <c r="E79" s="563"/>
      <c r="F79" s="563"/>
      <c r="G79" s="564"/>
    </row>
    <row r="80" spans="1:7" s="15" customFormat="1" ht="18.75" customHeight="1" x14ac:dyDescent="0.2">
      <c r="A80" s="191" t="s">
        <v>526</v>
      </c>
      <c r="B80" s="415" t="s">
        <v>112</v>
      </c>
      <c r="C80" s="416" t="s">
        <v>191</v>
      </c>
      <c r="D80" s="417" t="s">
        <v>527</v>
      </c>
      <c r="E80" s="404" t="s">
        <v>93</v>
      </c>
      <c r="F80" s="416" t="s">
        <v>191</v>
      </c>
      <c r="G80" s="418" t="s">
        <v>528</v>
      </c>
    </row>
    <row r="81" spans="1:7" s="15" customFormat="1" ht="18.75" customHeight="1" x14ac:dyDescent="0.2">
      <c r="A81" s="226" t="s">
        <v>529</v>
      </c>
      <c r="B81" s="227" t="s">
        <v>15</v>
      </c>
      <c r="C81" s="228" t="s">
        <v>193</v>
      </c>
      <c r="D81" s="229" t="s">
        <v>656</v>
      </c>
      <c r="E81" s="230" t="s">
        <v>93</v>
      </c>
      <c r="F81" s="228" t="s">
        <v>191</v>
      </c>
      <c r="G81" s="419" t="s">
        <v>657</v>
      </c>
    </row>
    <row r="82" spans="1:7" s="15" customFormat="1" ht="18.75" customHeight="1" thickBot="1" x14ac:dyDescent="0.25">
      <c r="A82" s="192" t="s">
        <v>658</v>
      </c>
      <c r="B82" s="411"/>
      <c r="C82" s="412"/>
      <c r="D82" s="413"/>
      <c r="E82" s="414"/>
      <c r="F82" s="412"/>
      <c r="G82" s="413"/>
    </row>
    <row r="83" spans="1:7" s="15" customFormat="1" ht="18.75" customHeight="1" thickTop="1" x14ac:dyDescent="0.2">
      <c r="A83" s="14"/>
      <c r="B83" s="14"/>
      <c r="C83" s="14"/>
      <c r="D83" s="14"/>
      <c r="E83" s="14"/>
      <c r="F83" s="14"/>
      <c r="G83" s="14"/>
    </row>
    <row r="84" spans="1:7" s="15" customFormat="1" ht="18.75" customHeight="1" x14ac:dyDescent="0.2">
      <c r="A84" s="232" t="s">
        <v>409</v>
      </c>
      <c r="B84" s="14">
        <f>COUNTIF($B$5:$C$45,A84)</f>
        <v>26</v>
      </c>
      <c r="C84" s="14">
        <f>COUNTIF($B$49:$B$78,A84)</f>
        <v>4</v>
      </c>
      <c r="D84" s="14">
        <f>COUNTIF($B$80:$B$82,A84)</f>
        <v>0</v>
      </c>
      <c r="E84" s="14">
        <f>COUNTIF($E$5:$F$45,A84)</f>
        <v>25</v>
      </c>
      <c r="F84" s="14">
        <f>COUNTIF($E$49:$E$78,A84)</f>
        <v>10</v>
      </c>
      <c r="G84" s="14">
        <f>COUNTIF($E$80:$E$82,A84)</f>
        <v>0</v>
      </c>
    </row>
    <row r="85" spans="1:7" s="15" customFormat="1" ht="18.75" customHeight="1" x14ac:dyDescent="0.2">
      <c r="A85" s="232" t="s">
        <v>654</v>
      </c>
      <c r="B85" s="14">
        <f t="shared" ref="B85:B92" si="0">COUNTIF($B$5:$C$45,A85)</f>
        <v>6</v>
      </c>
      <c r="C85" s="14">
        <f t="shared" ref="C85:C92" si="1">COUNTIF($B$49:$B$78,A85)</f>
        <v>1</v>
      </c>
      <c r="D85" s="14">
        <f t="shared" ref="D85:D92" si="2">COUNTIF($B$80:$B$82,A85)</f>
        <v>0</v>
      </c>
      <c r="E85" s="14">
        <f t="shared" ref="E85:E92" si="3">COUNTIF($E$5:$F$45,A85)</f>
        <v>0</v>
      </c>
      <c r="F85" s="14">
        <f t="shared" ref="F85:F92" si="4">COUNTIF($E$49:$E$78,A85)</f>
        <v>0</v>
      </c>
      <c r="G85" s="14">
        <f t="shared" ref="G85:G92" si="5">COUNTIF($E$80:$E$82,A85)</f>
        <v>0</v>
      </c>
    </row>
    <row r="86" spans="1:7" s="15" customFormat="1" ht="18.75" customHeight="1" x14ac:dyDescent="0.2">
      <c r="A86" s="232" t="s">
        <v>647</v>
      </c>
      <c r="B86" s="14">
        <f t="shared" si="0"/>
        <v>0</v>
      </c>
      <c r="C86" s="14">
        <f t="shared" si="1"/>
        <v>0</v>
      </c>
      <c r="D86" s="14">
        <f t="shared" si="2"/>
        <v>0</v>
      </c>
      <c r="E86" s="14">
        <f t="shared" si="3"/>
        <v>0</v>
      </c>
      <c r="F86" s="14">
        <f t="shared" si="4"/>
        <v>0</v>
      </c>
      <c r="G86" s="14">
        <f t="shared" si="5"/>
        <v>0</v>
      </c>
    </row>
    <row r="87" spans="1:7" s="15" customFormat="1" ht="18.75" customHeight="1" x14ac:dyDescent="0.2">
      <c r="A87" s="232" t="s">
        <v>648</v>
      </c>
      <c r="B87" s="14">
        <f t="shared" si="0"/>
        <v>22</v>
      </c>
      <c r="C87" s="14">
        <f t="shared" si="1"/>
        <v>6</v>
      </c>
      <c r="D87" s="14">
        <f t="shared" si="2"/>
        <v>1</v>
      </c>
      <c r="E87" s="14">
        <f t="shared" si="3"/>
        <v>0</v>
      </c>
      <c r="F87" s="14">
        <f t="shared" si="4"/>
        <v>3</v>
      </c>
      <c r="G87" s="14">
        <f t="shared" si="5"/>
        <v>0</v>
      </c>
    </row>
    <row r="88" spans="1:7" s="15" customFormat="1" ht="18.75" customHeight="1" x14ac:dyDescent="0.2">
      <c r="A88" s="232" t="s">
        <v>649</v>
      </c>
      <c r="B88" s="14">
        <f t="shared" si="0"/>
        <v>2</v>
      </c>
      <c r="C88" s="14">
        <f t="shared" si="1"/>
        <v>3</v>
      </c>
      <c r="D88" s="14">
        <f t="shared" si="2"/>
        <v>0</v>
      </c>
      <c r="E88" s="14">
        <f t="shared" si="3"/>
        <v>0</v>
      </c>
      <c r="F88" s="14">
        <f>COUNTIF($E$49:$E$78,A88)</f>
        <v>2</v>
      </c>
      <c r="G88" s="14">
        <f t="shared" si="5"/>
        <v>0</v>
      </c>
    </row>
    <row r="89" spans="1:7" s="15" customFormat="1" ht="18.75" customHeight="1" x14ac:dyDescent="0.2">
      <c r="A89" s="232" t="s">
        <v>650</v>
      </c>
      <c r="B89" s="14">
        <f t="shared" si="0"/>
        <v>0</v>
      </c>
      <c r="C89" s="14">
        <f t="shared" si="1"/>
        <v>1</v>
      </c>
      <c r="D89" s="14">
        <f t="shared" si="2"/>
        <v>0</v>
      </c>
      <c r="E89" s="14">
        <f t="shared" si="3"/>
        <v>2</v>
      </c>
      <c r="F89" s="14">
        <f t="shared" si="4"/>
        <v>4</v>
      </c>
      <c r="G89" s="14">
        <f t="shared" si="5"/>
        <v>2</v>
      </c>
    </row>
    <row r="90" spans="1:7" s="15" customFormat="1" ht="18.75" customHeight="1" x14ac:dyDescent="0.2">
      <c r="A90" s="232" t="s">
        <v>651</v>
      </c>
      <c r="B90" s="14">
        <f t="shared" si="0"/>
        <v>0</v>
      </c>
      <c r="C90" s="14">
        <f t="shared" si="1"/>
        <v>0</v>
      </c>
      <c r="D90" s="14">
        <f t="shared" si="2"/>
        <v>1</v>
      </c>
      <c r="E90" s="14">
        <f t="shared" si="3"/>
        <v>0</v>
      </c>
      <c r="F90" s="14">
        <f t="shared" si="4"/>
        <v>2</v>
      </c>
      <c r="G90" s="14">
        <f t="shared" si="5"/>
        <v>0</v>
      </c>
    </row>
    <row r="91" spans="1:7" s="15" customFormat="1" ht="18.75" customHeight="1" x14ac:dyDescent="0.2">
      <c r="A91" s="232" t="s">
        <v>652</v>
      </c>
      <c r="B91" s="14">
        <f t="shared" si="0"/>
        <v>0</v>
      </c>
      <c r="C91" s="14">
        <f t="shared" si="1"/>
        <v>1</v>
      </c>
      <c r="D91" s="14">
        <f t="shared" si="2"/>
        <v>0</v>
      </c>
      <c r="E91" s="14">
        <f t="shared" si="3"/>
        <v>0</v>
      </c>
      <c r="F91" s="14">
        <f t="shared" si="4"/>
        <v>0</v>
      </c>
      <c r="G91" s="14">
        <f t="shared" si="5"/>
        <v>0</v>
      </c>
    </row>
    <row r="92" spans="1:7" s="15" customFormat="1" ht="18.75" customHeight="1" x14ac:dyDescent="0.2">
      <c r="A92" s="232" t="s">
        <v>653</v>
      </c>
      <c r="B92" s="14">
        <f t="shared" si="0"/>
        <v>0</v>
      </c>
      <c r="C92" s="14">
        <f t="shared" si="1"/>
        <v>0</v>
      </c>
      <c r="D92" s="14">
        <f t="shared" si="2"/>
        <v>0</v>
      </c>
      <c r="E92" s="14">
        <f t="shared" si="3"/>
        <v>0</v>
      </c>
      <c r="F92" s="14">
        <f t="shared" si="4"/>
        <v>0</v>
      </c>
      <c r="G92" s="14">
        <f t="shared" si="5"/>
        <v>0</v>
      </c>
    </row>
    <row r="93" spans="1:7" s="15" customFormat="1" ht="18.75" customHeight="1" x14ac:dyDescent="0.2">
      <c r="A93" s="14"/>
      <c r="B93" s="14"/>
      <c r="C93" s="14"/>
      <c r="D93" s="14"/>
      <c r="E93" s="14"/>
      <c r="F93" s="14"/>
      <c r="G93" s="14"/>
    </row>
    <row r="94" spans="1:7" s="15" customFormat="1" ht="18.75" customHeight="1" x14ac:dyDescent="0.2">
      <c r="A94" s="14"/>
      <c r="B94" s="14"/>
      <c r="C94" s="14"/>
      <c r="D94" s="14"/>
      <c r="E94" s="14"/>
      <c r="F94" s="14"/>
      <c r="G94" s="14"/>
    </row>
    <row r="95" spans="1:7" s="15" customFormat="1" ht="18.75" customHeight="1" x14ac:dyDescent="0.2">
      <c r="A95" s="14"/>
      <c r="B95" s="14"/>
      <c r="C95" s="14"/>
      <c r="D95" s="14"/>
      <c r="E95" s="14"/>
      <c r="F95" s="14"/>
      <c r="G95" s="14"/>
    </row>
    <row r="96" spans="1:7" s="15" customFormat="1" ht="18.75" customHeight="1" x14ac:dyDescent="0.2">
      <c r="A96" s="14"/>
      <c r="B96" s="14"/>
      <c r="C96" s="14"/>
      <c r="D96" s="14"/>
      <c r="E96" s="14"/>
      <c r="F96" s="14"/>
      <c r="G96" s="14"/>
    </row>
    <row r="97" spans="1:7" s="15" customFormat="1" ht="18.75" customHeight="1" x14ac:dyDescent="0.2">
      <c r="A97" s="14"/>
      <c r="B97" s="14"/>
      <c r="C97" s="14"/>
      <c r="D97" s="14"/>
      <c r="E97" s="14"/>
      <c r="F97" s="14"/>
      <c r="G97" s="14"/>
    </row>
    <row r="98" spans="1:7" s="15" customFormat="1" ht="18.75" customHeight="1" x14ac:dyDescent="0.2">
      <c r="A98" s="14"/>
      <c r="B98" s="14"/>
      <c r="C98" s="14"/>
      <c r="D98" s="14"/>
      <c r="E98" s="14"/>
      <c r="F98" s="14"/>
      <c r="G98" s="14"/>
    </row>
    <row r="99" spans="1:7" s="15" customFormat="1" ht="18.75" customHeight="1" x14ac:dyDescent="0.2">
      <c r="A99" s="14"/>
      <c r="B99" s="14"/>
      <c r="C99" s="14"/>
      <c r="D99" s="14"/>
      <c r="E99" s="14"/>
      <c r="F99" s="14"/>
      <c r="G99" s="14"/>
    </row>
    <row r="100" spans="1:7" s="15" customFormat="1" ht="18.75" customHeight="1" x14ac:dyDescent="0.2">
      <c r="A100" s="14"/>
      <c r="B100" s="14"/>
      <c r="C100" s="14"/>
      <c r="D100" s="14"/>
      <c r="E100" s="14"/>
      <c r="F100" s="14"/>
      <c r="G100" s="14"/>
    </row>
    <row r="101" spans="1:7" s="15" customFormat="1" ht="18.75" customHeight="1" x14ac:dyDescent="0.2">
      <c r="A101" s="14"/>
      <c r="B101" s="14"/>
      <c r="C101" s="14"/>
      <c r="D101" s="14"/>
      <c r="E101" s="14"/>
      <c r="F101" s="14"/>
      <c r="G101" s="14"/>
    </row>
    <row r="102" spans="1:7" s="15" customFormat="1" ht="18.75" customHeight="1" x14ac:dyDescent="0.2">
      <c r="A102" s="14"/>
      <c r="B102" s="14"/>
      <c r="C102" s="14"/>
      <c r="D102" s="14"/>
      <c r="E102" s="14"/>
      <c r="F102" s="14"/>
      <c r="G102" s="14"/>
    </row>
    <row r="103" spans="1:7" s="15" customFormat="1" ht="18.75" customHeight="1" x14ac:dyDescent="0.2">
      <c r="A103" s="14"/>
      <c r="B103" s="14"/>
      <c r="C103" s="14"/>
      <c r="D103" s="14"/>
      <c r="E103" s="14"/>
      <c r="F103" s="14"/>
      <c r="G103" s="14"/>
    </row>
    <row r="104" spans="1:7" s="15" customFormat="1" ht="18.75" customHeight="1" x14ac:dyDescent="0.2">
      <c r="A104" s="14"/>
      <c r="B104" s="14"/>
      <c r="C104" s="14"/>
      <c r="D104" s="14"/>
      <c r="E104" s="14"/>
      <c r="F104" s="14"/>
      <c r="G104" s="14"/>
    </row>
    <row r="105" spans="1:7" s="15" customFormat="1" ht="18.75" customHeight="1" x14ac:dyDescent="0.2">
      <c r="A105" s="14"/>
      <c r="B105" s="14"/>
      <c r="C105" s="14"/>
      <c r="D105" s="14"/>
      <c r="E105" s="14"/>
      <c r="F105" s="14"/>
      <c r="G105" s="14"/>
    </row>
    <row r="106" spans="1:7" s="15" customFormat="1" ht="18.75" customHeight="1" x14ac:dyDescent="0.2">
      <c r="A106" s="14"/>
      <c r="B106" s="14"/>
      <c r="C106" s="14"/>
      <c r="D106" s="14"/>
      <c r="E106" s="14"/>
      <c r="F106" s="14"/>
      <c r="G106" s="14"/>
    </row>
    <row r="107" spans="1:7" s="15" customFormat="1" ht="18.75" customHeight="1" x14ac:dyDescent="0.2">
      <c r="A107" s="14"/>
      <c r="B107" s="14"/>
      <c r="C107" s="14"/>
      <c r="D107" s="14"/>
      <c r="E107" s="14"/>
      <c r="F107" s="14"/>
      <c r="G107" s="14"/>
    </row>
    <row r="108" spans="1:7" s="15" customFormat="1" ht="18.75" customHeight="1" x14ac:dyDescent="0.2">
      <c r="A108" s="14"/>
      <c r="B108" s="14"/>
      <c r="C108" s="14"/>
      <c r="D108" s="14"/>
      <c r="E108" s="14"/>
      <c r="F108" s="14"/>
      <c r="G108" s="14"/>
    </row>
    <row r="109" spans="1:7" s="15" customFormat="1" ht="18.75" customHeight="1" x14ac:dyDescent="0.2"/>
    <row r="110" spans="1:7" s="15" customFormat="1" ht="18.75" customHeight="1" x14ac:dyDescent="0.2"/>
    <row r="111" spans="1:7" s="15" customFormat="1" ht="18.75" customHeight="1" x14ac:dyDescent="0.2"/>
    <row r="112" spans="1:7" s="15" customFormat="1" ht="18.75" customHeight="1" x14ac:dyDescent="0.2"/>
    <row r="113" s="15" customFormat="1" ht="18.75" customHeight="1" x14ac:dyDescent="0.2"/>
    <row r="114" s="15" customFormat="1" ht="18.75" customHeight="1" x14ac:dyDescent="0.2"/>
    <row r="115" s="15" customFormat="1" ht="18.75" customHeight="1" x14ac:dyDescent="0.2"/>
    <row r="116" s="15" customFormat="1" ht="18.75" customHeight="1" x14ac:dyDescent="0.2"/>
    <row r="117" s="15" customFormat="1" ht="18.75" customHeight="1" x14ac:dyDescent="0.2"/>
    <row r="118" s="15" customFormat="1" ht="18.75" customHeight="1" x14ac:dyDescent="0.2"/>
    <row r="119" s="15" customFormat="1" ht="18.75" customHeight="1" x14ac:dyDescent="0.2"/>
    <row r="120" s="15" customFormat="1" ht="18.75" customHeight="1" x14ac:dyDescent="0.2"/>
    <row r="121" s="15" customFormat="1" ht="18.75" customHeight="1" x14ac:dyDescent="0.2"/>
    <row r="122" s="15" customFormat="1" ht="18.75" customHeight="1" x14ac:dyDescent="0.2"/>
    <row r="123" s="15" customFormat="1" ht="18.75" customHeight="1" x14ac:dyDescent="0.2"/>
    <row r="124" s="15" customFormat="1" ht="18.75" customHeight="1" x14ac:dyDescent="0.2"/>
    <row r="125" s="15" customFormat="1" ht="18.75" customHeight="1" x14ac:dyDescent="0.2"/>
    <row r="126" s="15" customFormat="1" ht="18.75" customHeight="1" x14ac:dyDescent="0.2"/>
    <row r="127" s="15" customFormat="1" ht="18.75" customHeight="1" x14ac:dyDescent="0.2"/>
  </sheetData>
  <mergeCells count="8">
    <mergeCell ref="B79:G79"/>
    <mergeCell ref="A47:A48"/>
    <mergeCell ref="B47:D47"/>
    <mergeCell ref="E47:G47"/>
    <mergeCell ref="A1:G1"/>
    <mergeCell ref="A3:A4"/>
    <mergeCell ref="B3:D3"/>
    <mergeCell ref="E3:G3"/>
  </mergeCells>
  <phoneticPr fontId="1"/>
  <pageMargins left="0.64" right="0.28999999999999998" top="0.55000000000000004" bottom="0.69" header="0.51200000000000001" footer="0.51200000000000001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22"/>
  <sheetViews>
    <sheetView topLeftCell="A7" zoomScale="75" workbookViewId="0">
      <selection activeCell="D14" sqref="D14"/>
    </sheetView>
    <sheetView topLeftCell="A5" workbookViewId="1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E12" sqref="E12"/>
    </sheetView>
  </sheetViews>
  <sheetFormatPr defaultColWidth="13" defaultRowHeight="13" x14ac:dyDescent="0.2"/>
  <cols>
    <col min="1" max="1" width="23.6328125" style="10" customWidth="1"/>
    <col min="2" max="7" width="10.6328125" style="10" customWidth="1"/>
    <col min="8" max="16384" width="13" style="10"/>
  </cols>
  <sheetData>
    <row r="2" spans="1:9" s="88" customFormat="1" ht="30" x14ac:dyDescent="0.4">
      <c r="A2" s="578" t="s">
        <v>329</v>
      </c>
      <c r="B2" s="578"/>
      <c r="C2" s="578"/>
      <c r="D2" s="578"/>
      <c r="E2" s="578"/>
      <c r="F2" s="578"/>
      <c r="G2" s="578"/>
      <c r="H2" s="87"/>
      <c r="I2" s="87"/>
    </row>
    <row r="3" spans="1:9" s="88" customFormat="1" x14ac:dyDescent="0.2"/>
    <row r="4" spans="1:9" s="88" customFormat="1" ht="13.5" thickBot="1" x14ac:dyDescent="0.25"/>
    <row r="5" spans="1:9" ht="39.75" customHeight="1" x14ac:dyDescent="0.2">
      <c r="A5" s="572" t="s">
        <v>185</v>
      </c>
      <c r="B5" s="574" t="s">
        <v>186</v>
      </c>
      <c r="C5" s="575"/>
      <c r="D5" s="576"/>
      <c r="E5" s="574" t="s">
        <v>187</v>
      </c>
      <c r="F5" s="575"/>
      <c r="G5" s="577"/>
    </row>
    <row r="6" spans="1:9" ht="39.75" customHeight="1" thickBot="1" x14ac:dyDescent="0.25">
      <c r="A6" s="573"/>
      <c r="B6" s="89" t="s">
        <v>155</v>
      </c>
      <c r="C6" s="90" t="s">
        <v>156</v>
      </c>
      <c r="D6" s="90" t="s">
        <v>157</v>
      </c>
      <c r="E6" s="91" t="s">
        <v>155</v>
      </c>
      <c r="F6" s="92" t="s">
        <v>156</v>
      </c>
      <c r="G6" s="93" t="s">
        <v>157</v>
      </c>
    </row>
    <row r="7" spans="1:9" ht="39.75" customHeight="1" thickTop="1" x14ac:dyDescent="0.2">
      <c r="A7" s="94" t="s">
        <v>79</v>
      </c>
      <c r="B7" s="95"/>
      <c r="C7" s="96">
        <v>1</v>
      </c>
      <c r="D7" s="96">
        <v>4</v>
      </c>
      <c r="E7" s="97">
        <v>2</v>
      </c>
      <c r="F7" s="98"/>
      <c r="G7" s="99">
        <v>3</v>
      </c>
    </row>
    <row r="8" spans="1:9" ht="39.75" customHeight="1" x14ac:dyDescent="0.2">
      <c r="A8" s="100" t="s">
        <v>123</v>
      </c>
      <c r="B8" s="101">
        <v>1</v>
      </c>
      <c r="C8" s="102">
        <v>1</v>
      </c>
      <c r="D8" s="102">
        <v>2</v>
      </c>
      <c r="E8" s="103"/>
      <c r="F8" s="104"/>
      <c r="G8" s="105"/>
    </row>
    <row r="9" spans="1:9" ht="39.75" customHeight="1" x14ac:dyDescent="0.2">
      <c r="A9" s="100" t="s">
        <v>15</v>
      </c>
      <c r="B9" s="101">
        <v>1</v>
      </c>
      <c r="C9" s="102"/>
      <c r="D9" s="102">
        <v>4</v>
      </c>
      <c r="E9" s="103"/>
      <c r="F9" s="104">
        <v>1</v>
      </c>
      <c r="G9" s="105">
        <v>1</v>
      </c>
    </row>
    <row r="10" spans="1:9" ht="39.75" customHeight="1" x14ac:dyDescent="0.2">
      <c r="A10" s="100" t="s">
        <v>191</v>
      </c>
      <c r="B10" s="101">
        <v>1</v>
      </c>
      <c r="C10" s="102">
        <v>1</v>
      </c>
      <c r="D10" s="102">
        <v>2</v>
      </c>
      <c r="E10" s="103"/>
      <c r="F10" s="104">
        <v>1</v>
      </c>
      <c r="G10" s="105">
        <v>1</v>
      </c>
    </row>
    <row r="11" spans="1:9" ht="39.75" customHeight="1" x14ac:dyDescent="0.2">
      <c r="A11" s="100" t="s">
        <v>70</v>
      </c>
      <c r="B11" s="101">
        <v>2</v>
      </c>
      <c r="C11" s="102">
        <v>3</v>
      </c>
      <c r="D11" s="102">
        <v>8</v>
      </c>
      <c r="E11" s="103">
        <v>2</v>
      </c>
      <c r="F11" s="104">
        <v>1</v>
      </c>
      <c r="G11" s="105"/>
    </row>
    <row r="12" spans="1:9" ht="39.75" customHeight="1" x14ac:dyDescent="0.2">
      <c r="A12" s="100" t="s">
        <v>112</v>
      </c>
      <c r="B12" s="101"/>
      <c r="C12" s="102"/>
      <c r="D12" s="102">
        <v>6</v>
      </c>
      <c r="E12" s="103"/>
      <c r="F12" s="104">
        <v>1</v>
      </c>
      <c r="G12" s="105">
        <v>2</v>
      </c>
    </row>
    <row r="13" spans="1:9" ht="39.75" customHeight="1" x14ac:dyDescent="0.2">
      <c r="A13" s="100" t="s">
        <v>192</v>
      </c>
      <c r="B13" s="101"/>
      <c r="C13" s="102"/>
      <c r="D13" s="102">
        <v>3</v>
      </c>
      <c r="E13" s="103"/>
      <c r="F13" s="104"/>
      <c r="G13" s="105">
        <v>2</v>
      </c>
    </row>
    <row r="14" spans="1:9" ht="39.75" customHeight="1" x14ac:dyDescent="0.2">
      <c r="A14" s="100" t="s">
        <v>193</v>
      </c>
      <c r="B14" s="101">
        <v>1</v>
      </c>
      <c r="C14" s="102">
        <v>4</v>
      </c>
      <c r="D14" s="102">
        <v>7</v>
      </c>
      <c r="E14" s="103"/>
      <c r="F14" s="104"/>
      <c r="G14" s="105">
        <v>2</v>
      </c>
    </row>
    <row r="15" spans="1:9" ht="39.75" customHeight="1" thickBot="1" x14ac:dyDescent="0.25">
      <c r="A15" s="100" t="s">
        <v>47</v>
      </c>
      <c r="B15" s="101"/>
      <c r="C15" s="102">
        <v>2</v>
      </c>
      <c r="D15" s="102">
        <v>5</v>
      </c>
      <c r="E15" s="103"/>
      <c r="F15" s="104"/>
      <c r="G15" s="105">
        <v>4</v>
      </c>
    </row>
    <row r="16" spans="1:9" s="109" customFormat="1" ht="39.75" customHeight="1" thickTop="1" thickBot="1" x14ac:dyDescent="0.25">
      <c r="A16" s="106" t="s">
        <v>330</v>
      </c>
      <c r="B16" s="107">
        <f t="shared" ref="B16:G16" si="0">SUM(B7:B15)</f>
        <v>6</v>
      </c>
      <c r="C16" s="108">
        <f t="shared" si="0"/>
        <v>12</v>
      </c>
      <c r="D16" s="188">
        <f t="shared" si="0"/>
        <v>41</v>
      </c>
      <c r="E16" s="189">
        <f t="shared" si="0"/>
        <v>4</v>
      </c>
      <c r="F16" s="108">
        <f t="shared" si="0"/>
        <v>4</v>
      </c>
      <c r="G16" s="190">
        <f t="shared" si="0"/>
        <v>15</v>
      </c>
    </row>
    <row r="17" spans="1:5" s="109" customFormat="1" x14ac:dyDescent="0.2"/>
    <row r="18" spans="1:5" s="2" customFormat="1" ht="16.5" x14ac:dyDescent="0.25">
      <c r="A18" s="141" t="s">
        <v>157</v>
      </c>
      <c r="B18" s="2" t="s">
        <v>159</v>
      </c>
    </row>
    <row r="19" spans="1:5" s="2" customFormat="1" ht="16.5" x14ac:dyDescent="0.25">
      <c r="A19" s="141"/>
      <c r="E19" s="141"/>
    </row>
    <row r="20" spans="1:5" s="2" customFormat="1" ht="16.5" x14ac:dyDescent="0.25">
      <c r="A20" s="141" t="s">
        <v>156</v>
      </c>
      <c r="B20" s="2" t="s">
        <v>158</v>
      </c>
    </row>
    <row r="21" spans="1:5" s="2" customFormat="1" ht="16.5" x14ac:dyDescent="0.25"/>
    <row r="22" spans="1:5" s="2" customFormat="1" ht="16.5" x14ac:dyDescent="0.25">
      <c r="A22" s="141" t="s">
        <v>155</v>
      </c>
      <c r="B22" s="2" t="s">
        <v>199</v>
      </c>
    </row>
  </sheetData>
  <mergeCells count="4">
    <mergeCell ref="A5:A6"/>
    <mergeCell ref="B5:D5"/>
    <mergeCell ref="E5:G5"/>
    <mergeCell ref="A2:G2"/>
  </mergeCells>
  <phoneticPr fontId="1"/>
  <pageMargins left="0.78740157480314965" right="0.39370078740157483" top="0.68" bottom="0.57999999999999996" header="0.7" footer="0.47"/>
  <pageSetup paperSize="9" scale="96" orientation="portrait" r:id="rId1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95"/>
  <sheetViews>
    <sheetView view="pageBreakPreview" zoomScaleNormal="100" zoomScaleSheetLayoutView="100" workbookViewId="0">
      <selection activeCell="B1" sqref="B1"/>
    </sheetView>
    <sheetView topLeftCell="A109" zoomScaleNormal="100" workbookViewId="1"/>
  </sheetViews>
  <sheetFormatPr defaultColWidth="13" defaultRowHeight="13" x14ac:dyDescent="0.2"/>
  <cols>
    <col min="1" max="1" width="7" style="10" customWidth="1"/>
    <col min="2" max="2" width="17.36328125" style="10" customWidth="1"/>
    <col min="3" max="3" width="8.36328125" style="10" customWidth="1"/>
    <col min="4" max="4" width="5.6328125" style="11" customWidth="1"/>
    <col min="5" max="5" width="8.08984375" style="10" customWidth="1"/>
    <col min="6" max="6" width="5.6328125" style="11" customWidth="1"/>
    <col min="7" max="8" width="5.6328125" style="10" customWidth="1"/>
    <col min="9" max="9" width="8.08984375" style="10" customWidth="1"/>
    <col min="10" max="10" width="5.6328125" style="11" customWidth="1"/>
    <col min="11" max="12" width="5.6328125" style="10" customWidth="1"/>
    <col min="13" max="13" width="8.08984375" style="10" customWidth="1"/>
    <col min="14" max="14" width="5.6328125" style="11" customWidth="1"/>
    <col min="15" max="16" width="5.6328125" style="10" customWidth="1"/>
    <col min="17" max="17" width="8.08984375" style="10" customWidth="1"/>
    <col min="18" max="18" width="5.6328125" style="11" customWidth="1"/>
    <col min="19" max="16384" width="13" style="10"/>
  </cols>
  <sheetData>
    <row r="1" spans="1:19" x14ac:dyDescent="0.2">
      <c r="B1" s="6" t="s">
        <v>331</v>
      </c>
      <c r="C1" s="235"/>
      <c r="D1" s="235"/>
      <c r="E1" s="235"/>
      <c r="F1" s="235"/>
      <c r="G1" s="235"/>
      <c r="H1" s="235"/>
      <c r="I1" s="6" t="s">
        <v>1126</v>
      </c>
      <c r="J1" s="235"/>
      <c r="K1" s="235"/>
      <c r="L1" s="235"/>
      <c r="M1" s="235"/>
      <c r="N1" s="235"/>
      <c r="O1" s="235"/>
      <c r="P1" s="235"/>
      <c r="Q1" s="235"/>
      <c r="R1" s="235"/>
    </row>
    <row r="2" spans="1:19" x14ac:dyDescent="0.2">
      <c r="B2" s="3" t="s">
        <v>332</v>
      </c>
      <c r="C2" s="3"/>
    </row>
    <row r="3" spans="1:19" x14ac:dyDescent="0.2">
      <c r="B3" s="3"/>
      <c r="C3" s="3"/>
    </row>
    <row r="4" spans="1:19" x14ac:dyDescent="0.2">
      <c r="E4" s="10" t="s">
        <v>333</v>
      </c>
      <c r="I4" s="10" t="s">
        <v>73</v>
      </c>
      <c r="L4" t="s">
        <v>1217</v>
      </c>
      <c r="P4" s="10" t="s">
        <v>74</v>
      </c>
      <c r="Q4" s="4"/>
    </row>
    <row r="5" spans="1:19" x14ac:dyDescent="0.2">
      <c r="B5" s="10" t="s">
        <v>335</v>
      </c>
      <c r="C5" s="10" t="s">
        <v>336</v>
      </c>
      <c r="D5" s="5" t="s">
        <v>337</v>
      </c>
      <c r="E5" s="4">
        <v>45073</v>
      </c>
      <c r="F5" s="11">
        <v>1</v>
      </c>
      <c r="I5" s="4">
        <v>45073</v>
      </c>
      <c r="J5" s="11">
        <v>14</v>
      </c>
      <c r="L5" s="4"/>
      <c r="M5" s="4">
        <v>45074</v>
      </c>
      <c r="N5" s="11">
        <v>25</v>
      </c>
      <c r="P5" s="4"/>
      <c r="Q5" s="4">
        <v>45074</v>
      </c>
      <c r="R5" s="11">
        <v>34</v>
      </c>
    </row>
    <row r="6" spans="1:19" x14ac:dyDescent="0.2">
      <c r="E6" s="10" t="s">
        <v>118</v>
      </c>
      <c r="F6" s="16">
        <f>VLOOKUP(F5,競漕日程!$A$4:$D$45,2)</f>
        <v>0.5</v>
      </c>
      <c r="I6" s="10" t="s">
        <v>118</v>
      </c>
      <c r="J6" s="16">
        <f>VLOOKUP(J5,競漕日程!$A$4:$D$45,2)</f>
        <v>0.625</v>
      </c>
      <c r="K6" s="110"/>
      <c r="M6" s="10" t="s">
        <v>118</v>
      </c>
      <c r="N6" s="16">
        <f>VLOOKUP(N5,競漕日程!$A$4:$D$45,2)</f>
        <v>0.38611111111111102</v>
      </c>
      <c r="O6" s="110"/>
      <c r="R6" s="16">
        <f>VLOOKUP(R5,競漕日程!$A$4:$D$45,2)</f>
        <v>0.50694444444444442</v>
      </c>
      <c r="S6" s="110"/>
    </row>
    <row r="7" spans="1:19" x14ac:dyDescent="0.2">
      <c r="A7" s="10">
        <v>5</v>
      </c>
      <c r="B7" s="581" t="str">
        <f>IF(INDEX('１×Ｍ'!$B$2:$J$50,MATCH(A7,'１×Ｍ'!$B$3:$B$50,),MATCH($B$5,'１×Ｍ'!$B$2:$J$2,))&lt;&gt;"",INDEX('１×Ｍ'!$B$3:$J$50,MATCH(A7,'１×Ｍ'!$B$3:$B$50,),MATCH($B$5,'１×Ｍ'!$B$2:$J$2,)),"")</f>
        <v>新居高校E</v>
      </c>
      <c r="C7" s="581" t="str">
        <f>IF(INDEX('１×Ｍ'!$B$2:$J$50,MATCH(A7,'１×Ｍ'!$B$3:$B$50,),MATCH($C$5,'１×Ｍ'!$B$2:$J$2,))&lt;&gt;"",INDEX('１×Ｍ'!$B$3:$J$50,MATCH(A7,'１×Ｍ'!$B$3:$B$50,),MATCH($C$5,'１×Ｍ'!$B$2:$J$2,)),"")</f>
        <v>アレバロ</v>
      </c>
      <c r="D7" s="582">
        <v>1</v>
      </c>
      <c r="H7" s="582">
        <v>1</v>
      </c>
      <c r="L7" s="579"/>
      <c r="P7" s="579">
        <v>1</v>
      </c>
    </row>
    <row r="8" spans="1:19" x14ac:dyDescent="0.2">
      <c r="B8" s="581"/>
      <c r="C8" s="581"/>
      <c r="D8" s="582"/>
      <c r="E8" s="212"/>
      <c r="H8" s="582"/>
      <c r="I8" s="383" t="s">
        <v>1173</v>
      </c>
      <c r="L8" s="579"/>
      <c r="M8"/>
      <c r="P8" s="579"/>
      <c r="Q8" s="144" t="s">
        <v>1142</v>
      </c>
    </row>
    <row r="9" spans="1:19" x14ac:dyDescent="0.2">
      <c r="A9" s="10">
        <v>30</v>
      </c>
      <c r="B9" s="581" t="str">
        <f>IF(INDEX('１×Ｍ'!$B$2:$J$50,MATCH(A9,'１×Ｍ'!$B$3:$B$50,),MATCH($B$5,'１×Ｍ'!$B$2:$J$2,))&lt;&gt;"",INDEX('１×Ｍ'!$B$3:$J$50,MATCH(A9,'１×Ｍ'!$B$3:$B$50,),MATCH($B$5,'１×Ｍ'!$B$2:$J$2,)),"")</f>
        <v>沼津東高校B</v>
      </c>
      <c r="C9" s="581" t="str">
        <f>IF(INDEX('１×Ｍ'!$B$2:$J$50,MATCH(A9,'１×Ｍ'!$B$3:$B$50,),MATCH($C$5,'１×Ｍ'!$B$2:$J$2,))&lt;&gt;"",INDEX('１×Ｍ'!$B$3:$J$50,MATCH(A9,'１×Ｍ'!$B$3:$B$50,),MATCH($C$5,'１×Ｍ'!$B$2:$J$2,)),"")</f>
        <v>小倉</v>
      </c>
      <c r="D9" s="579">
        <v>2</v>
      </c>
      <c r="E9" s="115"/>
      <c r="H9" s="579">
        <v>2</v>
      </c>
      <c r="I9" s="115"/>
      <c r="L9" s="579">
        <v>2</v>
      </c>
      <c r="M9" s="113"/>
      <c r="P9" s="579">
        <v>2</v>
      </c>
      <c r="Q9" s="112"/>
    </row>
    <row r="10" spans="1:19" x14ac:dyDescent="0.2">
      <c r="B10" s="581"/>
      <c r="C10" s="581"/>
      <c r="D10" s="579"/>
      <c r="E10" s="111"/>
      <c r="H10" s="579"/>
      <c r="I10" s="144" t="s">
        <v>1163</v>
      </c>
      <c r="L10" s="579"/>
      <c r="M10" t="s">
        <v>1192</v>
      </c>
      <c r="N10" s="348"/>
      <c r="P10" s="579"/>
      <c r="Q10" s="152" t="s">
        <v>1140</v>
      </c>
      <c r="R10" s="348"/>
    </row>
    <row r="11" spans="1:19" x14ac:dyDescent="0.2">
      <c r="A11" s="10">
        <v>14</v>
      </c>
      <c r="B11" s="581" t="str">
        <f>IF(INDEX('１×Ｍ'!$B$2:$J$50,MATCH(A11,'１×Ｍ'!$B$3:$B$50,),MATCH($B$5,'１×Ｍ'!$B$2:$J$2,))&lt;&gt;"",INDEX('１×Ｍ'!$B$3:$J$50,MATCH(A11,'１×Ｍ'!$B$3:$B$50,),MATCH($B$5,'１×Ｍ'!$B$2:$J$2,)),"")</f>
        <v>浜松湖南高校A</v>
      </c>
      <c r="C11" s="581" t="str">
        <f>IF(INDEX('１×Ｍ'!$B$2:$J$50,MATCH(A11,'１×Ｍ'!$B$3:$B$50,),MATCH($C$5,'１×Ｍ'!$B$2:$J$2,))&lt;&gt;"",INDEX('１×Ｍ'!$B$3:$J$50,MATCH(A11,'１×Ｍ'!$B$3:$B$50,),MATCH($C$5,'１×Ｍ'!$B$2:$J$2,)),"")</f>
        <v>渥美</v>
      </c>
      <c r="D11" s="579">
        <v>3</v>
      </c>
      <c r="F11" s="349"/>
      <c r="H11" s="579">
        <v>3</v>
      </c>
      <c r="J11" s="349"/>
      <c r="L11" s="579">
        <v>3</v>
      </c>
      <c r="M11" s="112"/>
      <c r="N11" s="348"/>
      <c r="P11" s="579">
        <v>3</v>
      </c>
      <c r="Q11" s="112"/>
      <c r="R11" s="348"/>
    </row>
    <row r="12" spans="1:19" x14ac:dyDescent="0.2">
      <c r="B12" s="581"/>
      <c r="C12" s="581"/>
      <c r="D12" s="579"/>
      <c r="E12" s="114"/>
      <c r="F12" s="350"/>
      <c r="H12" s="579"/>
      <c r="I12" s="152" t="s">
        <v>1153</v>
      </c>
      <c r="J12" s="350"/>
      <c r="L12" s="579"/>
      <c r="M12" s="152" t="s">
        <v>1180</v>
      </c>
      <c r="N12" s="350"/>
      <c r="P12" s="579"/>
      <c r="Q12" s="144" t="s">
        <v>1138</v>
      </c>
      <c r="R12" s="350"/>
    </row>
    <row r="13" spans="1:19" x14ac:dyDescent="0.2">
      <c r="A13" s="10">
        <v>23</v>
      </c>
      <c r="B13" s="581" t="str">
        <f>IF(INDEX('１×Ｍ'!$B$2:$J$50,MATCH(A13,'１×Ｍ'!$B$3:$B$50,),MATCH($B$5,'１×Ｍ'!$B$2:$J$2,))&lt;&gt;"",INDEX('１×Ｍ'!$B$3:$J$50,MATCH(A13,'１×Ｍ'!$B$3:$B$50,),MATCH($B$5,'１×Ｍ'!$B$2:$J$2,)),"")</f>
        <v>天竜高校B</v>
      </c>
      <c r="C13" s="581" t="str">
        <f>IF(INDEX('１×Ｍ'!$B$2:$J$50,MATCH(A13,'１×Ｍ'!$B$3:$B$50,),MATCH($C$5,'１×Ｍ'!$B$2:$J$2,))&lt;&gt;"",INDEX('１×Ｍ'!$B$3:$J$50,MATCH(A13,'１×Ｍ'!$B$3:$B$50,),MATCH($C$5,'１×Ｍ'!$B$2:$J$2,)),"")</f>
        <v>清水</v>
      </c>
      <c r="D13" s="579">
        <v>4</v>
      </c>
      <c r="F13" s="348"/>
      <c r="H13" s="579">
        <v>4</v>
      </c>
      <c r="J13" s="348"/>
      <c r="L13" s="579">
        <v>4</v>
      </c>
      <c r="N13" s="348"/>
      <c r="P13" s="579">
        <v>4</v>
      </c>
      <c r="Q13" s="115"/>
      <c r="R13" s="348"/>
    </row>
    <row r="14" spans="1:19" x14ac:dyDescent="0.2">
      <c r="B14" s="581"/>
      <c r="C14" s="581"/>
      <c r="D14" s="579"/>
      <c r="E14" s="114"/>
      <c r="F14" s="348"/>
      <c r="H14" s="579"/>
      <c r="I14" s="152" t="s">
        <v>1162</v>
      </c>
      <c r="J14" s="348"/>
      <c r="L14" s="579"/>
      <c r="M14" s="152" t="s">
        <v>1191</v>
      </c>
      <c r="N14" s="348"/>
      <c r="P14" s="587"/>
      <c r="Q14" s="152" t="s">
        <v>1139</v>
      </c>
      <c r="R14" s="348"/>
    </row>
    <row r="15" spans="1:19" x14ac:dyDescent="0.2">
      <c r="A15" s="10">
        <v>38</v>
      </c>
      <c r="B15" s="581" t="str">
        <f>IF(INDEX('１×Ｍ'!$B$2:$J$50,MATCH(A15,'１×Ｍ'!$B$3:$B$50,),MATCH($B$5,'１×Ｍ'!$B$2:$J$2,))&lt;&gt;"",INDEX('１×Ｍ'!$B$3:$J$50,MATCH(A15,'１×Ｍ'!$B$3:$B$50,),MATCH($B$5,'１×Ｍ'!$B$2:$J$2,)),"")</f>
        <v>浜松北高校D</v>
      </c>
      <c r="C15" s="581" t="str">
        <f>IF(INDEX('１×Ｍ'!$B$2:$J$50,MATCH(A15,'１×Ｍ'!$B$3:$B$50,),MATCH($C$5,'１×Ｍ'!$B$2:$J$2,))&lt;&gt;"",INDEX('１×Ｍ'!$B$3:$J$50,MATCH(A15,'１×Ｍ'!$B$3:$B$50,),MATCH($C$5,'１×Ｍ'!$B$2:$J$2,)),"")</f>
        <v>水島</v>
      </c>
      <c r="D15" s="579">
        <v>5</v>
      </c>
      <c r="E15" s="112"/>
      <c r="H15" s="579">
        <v>5</v>
      </c>
      <c r="I15" s="112"/>
      <c r="L15" s="579">
        <v>5</v>
      </c>
      <c r="M15" s="115"/>
      <c r="N15" s="348"/>
      <c r="P15" s="579">
        <v>5</v>
      </c>
      <c r="Q15" s="115"/>
    </row>
    <row r="16" spans="1:19" x14ac:dyDescent="0.2">
      <c r="B16" s="581"/>
      <c r="C16" s="581"/>
      <c r="D16" s="579"/>
      <c r="E16" s="114"/>
      <c r="H16" s="579"/>
      <c r="I16" s="152" t="s">
        <v>1172</v>
      </c>
      <c r="L16" s="579"/>
      <c r="M16" t="s">
        <v>1201</v>
      </c>
      <c r="P16" s="579"/>
      <c r="Q16" s="383" t="s">
        <v>1141</v>
      </c>
    </row>
    <row r="17" spans="1:19" x14ac:dyDescent="0.2">
      <c r="B17" s="584" t="e">
        <f>IF(INDEX('１×Ｍ'!$B$2:$J$50,MATCH(A17,'１×Ｍ'!$B$3:$B$50,),MATCH($B$5,'１×Ｍ'!$B$2:$J$2,))&lt;&gt;"",INDEX('１×Ｍ'!$B$3:$J$50,MATCH(A17,'１×Ｍ'!$B$3:$B$50,),MATCH($B$5,'１×Ｍ'!$B$2:$J$2,)),"")</f>
        <v>#N/A</v>
      </c>
      <c r="C17" s="584" t="e">
        <f>IF(INDEX('１×Ｍ'!$B$2:$J$50,MATCH(A17,'１×Ｍ'!$B$3:$B$50,),MATCH($C$5,'１×Ｍ'!$B$2:$J$2,))&lt;&gt;"",INDEX('１×Ｍ'!$B$3:$J$50,MATCH(A17,'１×Ｍ'!$B$3:$B$50,),MATCH($C$5,'１×Ｍ'!$B$2:$J$2,)),"")</f>
        <v>#N/A</v>
      </c>
      <c r="D17" s="585">
        <v>6</v>
      </c>
      <c r="H17" s="579"/>
      <c r="L17" s="579"/>
      <c r="P17" s="579">
        <v>6</v>
      </c>
      <c r="Q17" s="115"/>
    </row>
    <row r="18" spans="1:19" x14ac:dyDescent="0.2">
      <c r="B18" s="584"/>
      <c r="C18" s="584"/>
      <c r="D18" s="585"/>
      <c r="H18" s="579"/>
      <c r="I18"/>
      <c r="L18" s="579"/>
      <c r="M18"/>
      <c r="P18" s="579"/>
      <c r="Q18" s="152" t="s">
        <v>1143</v>
      </c>
    </row>
    <row r="19" spans="1:19" x14ac:dyDescent="0.2">
      <c r="B19" s="15"/>
      <c r="C19" s="15"/>
    </row>
    <row r="20" spans="1:19" x14ac:dyDescent="0.2">
      <c r="B20" s="15"/>
      <c r="C20" s="15"/>
      <c r="F20" s="11">
        <f>F5+1</f>
        <v>2</v>
      </c>
      <c r="H20" s="580"/>
      <c r="I20" s="580"/>
      <c r="J20" s="11">
        <v>15</v>
      </c>
      <c r="L20" s="580"/>
      <c r="M20" s="580"/>
      <c r="N20" s="11">
        <v>26</v>
      </c>
    </row>
    <row r="21" spans="1:19" x14ac:dyDescent="0.2">
      <c r="B21" s="15"/>
      <c r="C21" s="15"/>
      <c r="E21" s="10" t="s">
        <v>119</v>
      </c>
      <c r="F21" s="16">
        <f>VLOOKUP(F20,競漕日程!$A$4:$D$45,2)</f>
        <v>0.50555555555555554</v>
      </c>
      <c r="I21" s="116" t="s">
        <v>119</v>
      </c>
      <c r="J21" s="16">
        <f>VLOOKUP(J20,競漕日程!$A$4:$D$45,2)</f>
        <v>0.63055555555555554</v>
      </c>
      <c r="K21" s="110"/>
      <c r="M21" s="116" t="s">
        <v>119</v>
      </c>
      <c r="N21" s="16">
        <f>VLOOKUP(N20,競漕日程!$A$4:$D$45,2)</f>
        <v>0.391666666666667</v>
      </c>
      <c r="O21" s="110"/>
      <c r="S21" s="110"/>
    </row>
    <row r="22" spans="1:19" x14ac:dyDescent="0.2">
      <c r="A22" s="10">
        <v>17</v>
      </c>
      <c r="B22" s="581" t="str">
        <f>IF(INDEX('１×Ｍ'!$B$2:$J$50,MATCH(A22,'１×Ｍ'!$B$3:$B$50,),MATCH($B$5,'１×Ｍ'!$B$2:$J$2,))&lt;&gt;"",INDEX('１×Ｍ'!$B$3:$J$50,MATCH(A22,'１×Ｍ'!$B$3:$B$50,),MATCH($B$5,'１×Ｍ'!$B$2:$J$2,)),"")</f>
        <v>浜松湖南高校D</v>
      </c>
      <c r="C22" s="581" t="str">
        <f>IF(INDEX('１×Ｍ'!$B$2:$J$50,MATCH(A22,'１×Ｍ'!$B$3:$B$50,),MATCH($C$5,'１×Ｍ'!$B$2:$J$2,))&lt;&gt;"",INDEX('１×Ｍ'!$B$3:$J$50,MATCH(A22,'１×Ｍ'!$B$3:$B$50,),MATCH($C$5,'１×Ｍ'!$B$2:$J$2,)),"")</f>
        <v>内藤</v>
      </c>
      <c r="D22" s="582">
        <v>1</v>
      </c>
      <c r="H22" s="582">
        <v>1</v>
      </c>
      <c r="L22" s="579"/>
    </row>
    <row r="23" spans="1:19" x14ac:dyDescent="0.2">
      <c r="B23" s="581"/>
      <c r="C23" s="581"/>
      <c r="D23" s="582"/>
      <c r="E23" s="212"/>
      <c r="H23" s="582"/>
      <c r="I23" s="383" t="s">
        <v>1174</v>
      </c>
      <c r="L23" s="579"/>
      <c r="M23"/>
    </row>
    <row r="24" spans="1:19" x14ac:dyDescent="0.2">
      <c r="A24" s="10">
        <v>34</v>
      </c>
      <c r="B24" s="581" t="str">
        <f>IF(INDEX('１×Ｍ'!$B$2:$J$50,MATCH(A24,'１×Ｍ'!$B$3:$B$50,),MATCH($B$5,'１×Ｍ'!$B$2:$J$2,))&lt;&gt;"",INDEX('１×Ｍ'!$B$3:$J$50,MATCH(A24,'１×Ｍ'!$B$3:$B$50,),MATCH($B$5,'１×Ｍ'!$B$2:$J$2,)),"")</f>
        <v>浜松西高校B</v>
      </c>
      <c r="C24" s="581" t="str">
        <f>IF(INDEX('１×Ｍ'!$B$2:$J$50,MATCH(A24,'１×Ｍ'!$B$3:$B$50,),MATCH($C$5,'１×Ｍ'!$B$2:$J$2,))&lt;&gt;"",INDEX('１×Ｍ'!$B$3:$J$50,MATCH(A24,'１×Ｍ'!$B$3:$B$50,),MATCH($C$5,'１×Ｍ'!$B$2:$J$2,)),"")</f>
        <v>内山</v>
      </c>
      <c r="D24" s="582">
        <v>2</v>
      </c>
      <c r="E24" s="115"/>
      <c r="H24" s="579">
        <v>2</v>
      </c>
      <c r="I24" s="115"/>
      <c r="L24" s="579">
        <v>2</v>
      </c>
      <c r="M24" s="113"/>
    </row>
    <row r="25" spans="1:19" x14ac:dyDescent="0.2">
      <c r="B25" s="581"/>
      <c r="C25" s="581"/>
      <c r="D25" s="582"/>
      <c r="E25" s="212"/>
      <c r="H25" s="579"/>
      <c r="I25" s="144" t="s">
        <v>1164</v>
      </c>
      <c r="L25" s="579"/>
      <c r="M25" t="s">
        <v>1193</v>
      </c>
      <c r="N25" s="348"/>
    </row>
    <row r="26" spans="1:19" x14ac:dyDescent="0.2">
      <c r="A26" s="10">
        <v>22</v>
      </c>
      <c r="B26" s="581" t="str">
        <f>IF(INDEX('１×Ｍ'!$B$2:$J$50,MATCH(A26,'１×Ｍ'!$B$3:$B$50,),MATCH($B$5,'１×Ｍ'!$B$2:$J$2,))&lt;&gt;"",INDEX('１×Ｍ'!$B$3:$J$50,MATCH(A26,'１×Ｍ'!$B$3:$B$50,),MATCH($B$5,'１×Ｍ'!$B$2:$J$2,)),"")</f>
        <v>天竜高校A</v>
      </c>
      <c r="C26" s="581" t="str">
        <f>IF(INDEX('１×Ｍ'!$B$2:$J$50,MATCH(A26,'１×Ｍ'!$B$3:$B$50,),MATCH($C$5,'１×Ｍ'!$B$2:$J$2,))&lt;&gt;"",INDEX('１×Ｍ'!$B$3:$J$50,MATCH(A26,'１×Ｍ'!$B$3:$B$50,),MATCH($C$5,'１×Ｍ'!$B$2:$J$2,)),"")</f>
        <v>大橋</v>
      </c>
      <c r="D26" s="582">
        <v>3</v>
      </c>
      <c r="E26" s="112"/>
      <c r="H26" s="579">
        <v>3</v>
      </c>
      <c r="I26"/>
      <c r="J26" s="349"/>
      <c r="L26" s="579">
        <v>3</v>
      </c>
      <c r="M26" s="112"/>
      <c r="N26" s="348"/>
    </row>
    <row r="27" spans="1:19" x14ac:dyDescent="0.2">
      <c r="B27" s="581"/>
      <c r="C27" s="581"/>
      <c r="D27" s="582"/>
      <c r="E27" s="114"/>
      <c r="F27" s="349"/>
      <c r="H27" s="579"/>
      <c r="I27" s="152" t="s">
        <v>1154</v>
      </c>
      <c r="J27" s="350"/>
      <c r="L27" s="579"/>
      <c r="M27" s="152" t="s">
        <v>1181</v>
      </c>
      <c r="N27" s="350"/>
    </row>
    <row r="28" spans="1:19" x14ac:dyDescent="0.2">
      <c r="A28" s="10">
        <v>28</v>
      </c>
      <c r="B28" s="581" t="str">
        <f>IF(INDEX('１×Ｍ'!$B$2:$J$50,MATCH(A28,'１×Ｍ'!$B$3:$B$50,),MATCH($B$5,'１×Ｍ'!$B$2:$J$2,))&lt;&gt;"",INDEX('１×Ｍ'!$B$3:$J$50,MATCH(A28,'１×Ｍ'!$B$3:$B$50,),MATCH($B$5,'１×Ｍ'!$B$2:$J$2,)),"")</f>
        <v>沼津工業高校B</v>
      </c>
      <c r="C28" s="581" t="str">
        <f>IF(INDEX('１×Ｍ'!$B$2:$J$50,MATCH(A28,'１×Ｍ'!$B$3:$B$50,),MATCH($C$5,'１×Ｍ'!$B$2:$J$2,))&lt;&gt;"",INDEX('１×Ｍ'!$B$3:$J$50,MATCH(A28,'１×Ｍ'!$B$3:$B$50,),MATCH($C$5,'１×Ｍ'!$B$2:$J$2,)),"")</f>
        <v>窪田</v>
      </c>
      <c r="D28" s="582">
        <v>4</v>
      </c>
      <c r="F28" s="350"/>
      <c r="H28" s="579">
        <v>4</v>
      </c>
      <c r="J28" s="348"/>
      <c r="L28" s="579">
        <v>4</v>
      </c>
      <c r="N28" s="348"/>
    </row>
    <row r="29" spans="1:19" x14ac:dyDescent="0.2">
      <c r="B29" s="581"/>
      <c r="C29" s="581"/>
      <c r="D29" s="582"/>
      <c r="E29" s="212"/>
      <c r="H29" s="579"/>
      <c r="I29" s="152" t="s">
        <v>1161</v>
      </c>
      <c r="J29" s="348"/>
      <c r="L29" s="579"/>
      <c r="M29" s="152" t="s">
        <v>1190</v>
      </c>
      <c r="N29" s="348"/>
    </row>
    <row r="30" spans="1:19" x14ac:dyDescent="0.2">
      <c r="A30" s="10">
        <v>11</v>
      </c>
      <c r="B30" s="581" t="str">
        <f>IF(INDEX('１×Ｍ'!$B$2:$J$50,MATCH(A30,'１×Ｍ'!$B$3:$B$50,),MATCH($B$5,'１×Ｍ'!$B$2:$J$2,))&lt;&gt;"",INDEX('１×Ｍ'!$B$3:$J$50,MATCH(A30,'１×Ｍ'!$B$3:$B$50,),MATCH($B$5,'１×Ｍ'!$B$2:$J$2,)),"")</f>
        <v>浜松大平台高校D</v>
      </c>
      <c r="C30" s="581" t="str">
        <f>IF(INDEX('１×Ｍ'!$B$2:$J$50,MATCH(A30,'１×Ｍ'!$B$3:$B$50,),MATCH($C$5,'１×Ｍ'!$B$2:$J$2,))&lt;&gt;"",INDEX('１×Ｍ'!$B$3:$J$50,MATCH(A30,'１×Ｍ'!$B$3:$B$50,),MATCH($C$5,'１×Ｍ'!$B$2:$J$2,)),"")</f>
        <v>鎌田</v>
      </c>
      <c r="D30" s="582">
        <v>5</v>
      </c>
      <c r="E30" s="112"/>
      <c r="H30" s="579">
        <v>5</v>
      </c>
      <c r="I30" s="112"/>
      <c r="L30" s="579">
        <v>5</v>
      </c>
      <c r="M30" s="115"/>
      <c r="N30" s="348"/>
    </row>
    <row r="31" spans="1:19" x14ac:dyDescent="0.2">
      <c r="B31" s="581"/>
      <c r="C31" s="581"/>
      <c r="D31" s="582"/>
      <c r="E31" s="212"/>
      <c r="H31" s="579"/>
      <c r="I31" s="152" t="s">
        <v>1171</v>
      </c>
      <c r="L31" s="579"/>
      <c r="M31" t="s">
        <v>1200</v>
      </c>
    </row>
    <row r="32" spans="1:19" x14ac:dyDescent="0.2">
      <c r="A32" s="10">
        <v>7</v>
      </c>
      <c r="B32" s="581" t="str">
        <f>IF(INDEX('１×Ｍ'!$B$2:$J$50,MATCH(A32,'１×Ｍ'!$B$3:$B$50,),MATCH($B$5,'１×Ｍ'!$B$2:$J$2,))&lt;&gt;"",INDEX('１×Ｍ'!$B$3:$J$50,MATCH(A32,'１×Ｍ'!$B$3:$B$50,),MATCH($B$5,'１×Ｍ'!$B$2:$J$2,)),"")</f>
        <v>新居高校G</v>
      </c>
      <c r="C32" s="581" t="str">
        <f>IF(INDEX('１×Ｍ'!$B$2:$J$50,MATCH(A32,'１×Ｍ'!$B$3:$B$50,),MATCH($C$5,'１×Ｍ'!$B$2:$J$2,))&lt;&gt;"",INDEX('１×Ｍ'!$B$3:$J$50,MATCH(A32,'１×Ｍ'!$B$3:$B$50,),MATCH($C$5,'１×Ｍ'!$B$2:$J$2,)),"")</f>
        <v>ヤクタヨ</v>
      </c>
      <c r="D32" s="582">
        <v>6</v>
      </c>
      <c r="E32" s="115"/>
      <c r="H32" s="579"/>
      <c r="L32" s="579"/>
    </row>
    <row r="33" spans="1:14" x14ac:dyDescent="0.2">
      <c r="B33" s="581"/>
      <c r="C33" s="581"/>
      <c r="D33" s="582"/>
      <c r="H33" s="579"/>
      <c r="I33"/>
      <c r="L33" s="579"/>
      <c r="M33"/>
    </row>
    <row r="34" spans="1:14" x14ac:dyDescent="0.2">
      <c r="B34" s="15"/>
      <c r="C34" s="15"/>
      <c r="D34" s="14"/>
      <c r="L34" s="14"/>
    </row>
    <row r="35" spans="1:14" x14ac:dyDescent="0.2">
      <c r="F35" s="11">
        <f>F20+1</f>
        <v>3</v>
      </c>
      <c r="H35" s="14"/>
      <c r="J35" s="11">
        <v>16</v>
      </c>
      <c r="L35" s="580"/>
      <c r="M35" s="580"/>
      <c r="N35" s="11">
        <v>27</v>
      </c>
    </row>
    <row r="36" spans="1:14" x14ac:dyDescent="0.2">
      <c r="E36" s="10" t="s">
        <v>120</v>
      </c>
      <c r="F36" s="16">
        <f>VLOOKUP(F35,競漕日程!$A$4:$D$45,2)</f>
        <v>0.51111111111111096</v>
      </c>
      <c r="I36" s="10" t="s">
        <v>120</v>
      </c>
      <c r="J36" s="16">
        <f>VLOOKUP(J35,競漕日程!$A$4:$D$45,2)</f>
        <v>0.63611111111111096</v>
      </c>
      <c r="K36" s="110"/>
      <c r="M36" s="184" t="s">
        <v>120</v>
      </c>
      <c r="N36" s="16">
        <f>VLOOKUP(N35,競漕日程!$A$4:$D$45,2)</f>
        <v>0.39722222222222198</v>
      </c>
    </row>
    <row r="37" spans="1:14" x14ac:dyDescent="0.2">
      <c r="A37" s="10">
        <v>25</v>
      </c>
      <c r="B37" s="581" t="str">
        <f>IF(INDEX('１×Ｍ'!$B$2:$J$50,MATCH(A37,'１×Ｍ'!$B$3:$B$50,),MATCH($B$5,'１×Ｍ'!$B$2:$J$2,))&lt;&gt;"",INDEX('１×Ｍ'!$B$3:$J$50,MATCH(A37,'１×Ｍ'!$B$3:$B$50,),MATCH($B$5,'１×Ｍ'!$B$2:$J$2,)),"")</f>
        <v>天竜高校D</v>
      </c>
      <c r="C37" s="581" t="str">
        <f>IF(INDEX('１×Ｍ'!$B$2:$J$50,MATCH(A37,'１×Ｍ'!$B$3:$B$50,),MATCH($C$5,'１×Ｍ'!$B$2:$J$2,))&lt;&gt;"",INDEX('１×Ｍ'!$B$3:$J$50,MATCH(A37,'１×Ｍ'!$B$3:$B$50,),MATCH($C$5,'１×Ｍ'!$B$2:$J$2,)),"")</f>
        <v>河合</v>
      </c>
      <c r="D37" s="582">
        <v>1</v>
      </c>
      <c r="H37" s="582">
        <v>1</v>
      </c>
      <c r="L37" s="579"/>
    </row>
    <row r="38" spans="1:14" x14ac:dyDescent="0.2">
      <c r="B38" s="581"/>
      <c r="C38" s="581"/>
      <c r="D38" s="582"/>
      <c r="E38" s="212"/>
      <c r="H38" s="582"/>
      <c r="I38" s="383" t="s">
        <v>1175</v>
      </c>
      <c r="L38" s="579"/>
      <c r="M38"/>
    </row>
    <row r="39" spans="1:14" x14ac:dyDescent="0.2">
      <c r="A39" s="10">
        <v>36</v>
      </c>
      <c r="B39" s="581" t="str">
        <f>IF(INDEX('１×Ｍ'!$B$2:$J$50,MATCH(A39,'１×Ｍ'!$B$3:$B$50,),MATCH($B$5,'１×Ｍ'!$B$2:$J$2,))&lt;&gt;"",INDEX('１×Ｍ'!$B$3:$J$50,MATCH(A39,'１×Ｍ'!$B$3:$B$50,),MATCH($B$5,'１×Ｍ'!$B$2:$J$2,)),"")</f>
        <v>浜松北高校B</v>
      </c>
      <c r="C39" s="581" t="str">
        <f>IF(INDEX('１×Ｍ'!$B$2:$J$50,MATCH(A39,'１×Ｍ'!$B$3:$B$50,),MATCH($C$5,'１×Ｍ'!$B$2:$J$2,))&lt;&gt;"",INDEX('１×Ｍ'!$B$3:$J$50,MATCH(A39,'１×Ｍ'!$B$3:$B$50,),MATCH($C$5,'１×Ｍ'!$B$2:$J$2,)),"")</f>
        <v>白井</v>
      </c>
      <c r="D39" s="582">
        <v>2</v>
      </c>
      <c r="E39" s="115"/>
      <c r="H39" s="579">
        <v>2</v>
      </c>
      <c r="I39" s="115"/>
      <c r="L39" s="579">
        <v>2</v>
      </c>
      <c r="M39" s="113"/>
    </row>
    <row r="40" spans="1:14" x14ac:dyDescent="0.2">
      <c r="B40" s="581"/>
      <c r="C40" s="581"/>
      <c r="D40" s="582"/>
      <c r="E40" s="212"/>
      <c r="H40" s="579"/>
      <c r="I40" s="144" t="s">
        <v>1165</v>
      </c>
      <c r="L40" s="579"/>
      <c r="M40" t="s">
        <v>1194</v>
      </c>
      <c r="N40" s="348"/>
    </row>
    <row r="41" spans="1:14" x14ac:dyDescent="0.2">
      <c r="A41" s="10">
        <v>27</v>
      </c>
      <c r="B41" s="581" t="str">
        <f>IF(INDEX('１×Ｍ'!$B$2:$J$50,MATCH(A41,'１×Ｍ'!$B$3:$B$50,),MATCH($B$5,'１×Ｍ'!$B$2:$J$2,))&lt;&gt;"",INDEX('１×Ｍ'!$B$3:$J$50,MATCH(A41,'１×Ｍ'!$B$3:$B$50,),MATCH($B$5,'１×Ｍ'!$B$2:$J$2,)),"")</f>
        <v>沼津工業高校A</v>
      </c>
      <c r="C41" s="581" t="str">
        <f>IF(INDEX('１×Ｍ'!$B$2:$J$50,MATCH(A41,'１×Ｍ'!$B$3:$B$50,),MATCH($C$5,'１×Ｍ'!$B$2:$J$2,))&lt;&gt;"",INDEX('１×Ｍ'!$B$3:$J$50,MATCH(A41,'１×Ｍ'!$B$3:$B$50,),MATCH($C$5,'１×Ｍ'!$B$2:$J$2,)),"")</f>
        <v>廣瀨</v>
      </c>
      <c r="D41" s="582">
        <v>3</v>
      </c>
      <c r="E41" s="112"/>
      <c r="H41" s="579">
        <v>3</v>
      </c>
      <c r="J41" s="349"/>
      <c r="L41" s="579">
        <v>3</v>
      </c>
      <c r="M41" s="112"/>
      <c r="N41" s="348"/>
    </row>
    <row r="42" spans="1:14" x14ac:dyDescent="0.2">
      <c r="B42" s="581"/>
      <c r="C42" s="581"/>
      <c r="D42" s="582"/>
      <c r="E42" s="114"/>
      <c r="F42" s="349"/>
      <c r="H42" s="579"/>
      <c r="I42" s="152" t="s">
        <v>1155</v>
      </c>
      <c r="J42" s="350"/>
      <c r="L42" s="579"/>
      <c r="M42" s="152" t="s">
        <v>1182</v>
      </c>
      <c r="N42" s="350"/>
    </row>
    <row r="43" spans="1:14" x14ac:dyDescent="0.2">
      <c r="A43" s="10">
        <v>15</v>
      </c>
      <c r="B43" s="581" t="str">
        <f>IF(INDEX('１×Ｍ'!$B$2:$J$50,MATCH(A43,'１×Ｍ'!$B$3:$B$50,),MATCH($B$5,'１×Ｍ'!$B$2:$J$2,))&lt;&gt;"",INDEX('１×Ｍ'!$B$3:$J$50,MATCH(A43,'１×Ｍ'!$B$3:$B$50,),MATCH($B$5,'１×Ｍ'!$B$2:$J$2,)),"")</f>
        <v>浜松湖南高校B</v>
      </c>
      <c r="C43" s="581" t="str">
        <f>IF(INDEX('１×Ｍ'!$B$2:$J$50,MATCH(A43,'１×Ｍ'!$B$3:$B$50,),MATCH($C$5,'１×Ｍ'!$B$2:$J$2,))&lt;&gt;"",INDEX('１×Ｍ'!$B$3:$J$50,MATCH(A43,'１×Ｍ'!$B$3:$B$50,),MATCH($C$5,'１×Ｍ'!$B$2:$J$2,)),"")</f>
        <v>蓑部</v>
      </c>
      <c r="D43" s="582">
        <v>4</v>
      </c>
      <c r="F43" s="350"/>
      <c r="H43" s="579">
        <v>4</v>
      </c>
      <c r="J43" s="348"/>
      <c r="L43" s="579">
        <v>4</v>
      </c>
      <c r="N43" s="348"/>
    </row>
    <row r="44" spans="1:14" x14ac:dyDescent="0.2">
      <c r="B44" s="581"/>
      <c r="C44" s="581"/>
      <c r="D44" s="582"/>
      <c r="E44" s="212"/>
      <c r="H44" s="579"/>
      <c r="I44" s="152" t="s">
        <v>1160</v>
      </c>
      <c r="J44" s="348"/>
      <c r="L44" s="579"/>
      <c r="M44" s="152" t="s">
        <v>1189</v>
      </c>
      <c r="N44" s="348"/>
    </row>
    <row r="45" spans="1:14" x14ac:dyDescent="0.2">
      <c r="A45" s="10">
        <v>4</v>
      </c>
      <c r="B45" s="581" t="str">
        <f>IF(INDEX('１×Ｍ'!$B$2:$J$50,MATCH(A45,'１×Ｍ'!$B$3:$B$50,),MATCH($B$5,'１×Ｍ'!$B$2:$J$2,))&lt;&gt;"",INDEX('１×Ｍ'!$B$3:$J$50,MATCH(A45,'１×Ｍ'!$B$3:$B$50,),MATCH($B$5,'１×Ｍ'!$B$2:$J$2,)),"")</f>
        <v>新居高校D</v>
      </c>
      <c r="C45" s="581" t="str">
        <f>IF(INDEX('１×Ｍ'!$B$2:$J$50,MATCH(A45,'１×Ｍ'!$B$3:$B$50,),MATCH($C$5,'１×Ｍ'!$B$2:$J$2,))&lt;&gt;"",INDEX('１×Ｍ'!$B$3:$J$50,MATCH(A45,'１×Ｍ'!$B$3:$B$50,),MATCH($C$5,'１×Ｍ'!$B$2:$J$2,)),"")</f>
        <v>椛島</v>
      </c>
      <c r="D45" s="582">
        <v>5</v>
      </c>
      <c r="E45" s="112"/>
      <c r="H45" s="579">
        <v>5</v>
      </c>
      <c r="I45" s="112"/>
      <c r="L45" s="579">
        <v>5</v>
      </c>
      <c r="M45" s="115"/>
      <c r="N45" s="348"/>
    </row>
    <row r="46" spans="1:14" x14ac:dyDescent="0.2">
      <c r="B46" s="581"/>
      <c r="C46" s="581"/>
      <c r="D46" s="582"/>
      <c r="E46" s="212"/>
      <c r="H46" s="579"/>
      <c r="I46" s="152" t="s">
        <v>1170</v>
      </c>
      <c r="L46" s="579"/>
      <c r="M46" t="s">
        <v>1199</v>
      </c>
    </row>
    <row r="47" spans="1:14" x14ac:dyDescent="0.2">
      <c r="A47" s="10">
        <v>13</v>
      </c>
      <c r="B47" s="581" t="str">
        <f>IF(INDEX('１×Ｍ'!$B$2:$J$50,MATCH(A47,'１×Ｍ'!$B$3:$B$50,),MATCH($B$5,'１×Ｍ'!$B$2:$J$2,))&lt;&gt;"",INDEX('１×Ｍ'!$B$3:$J$50,MATCH(A47,'１×Ｍ'!$B$3:$B$50,),MATCH($B$5,'１×Ｍ'!$B$2:$J$2,)),"")</f>
        <v>浜松大平台高校F</v>
      </c>
      <c r="C47" s="581" t="str">
        <f>IF(INDEX('１×Ｍ'!$B$2:$J$50,MATCH(A47,'１×Ｍ'!$B$3:$B$50,),MATCH($C$5,'１×Ｍ'!$B$2:$J$2,))&lt;&gt;"",INDEX('１×Ｍ'!$B$3:$J$50,MATCH(A47,'１×Ｍ'!$B$3:$B$50,),MATCH($C$5,'１×Ｍ'!$B$2:$J$2,)),"")</f>
        <v>松元</v>
      </c>
      <c r="D47" s="582">
        <v>6</v>
      </c>
      <c r="E47" s="115"/>
      <c r="H47" s="579"/>
      <c r="L47" s="579"/>
    </row>
    <row r="48" spans="1:14" x14ac:dyDescent="0.2">
      <c r="B48" s="581"/>
      <c r="C48" s="581"/>
      <c r="D48" s="582"/>
      <c r="H48" s="579"/>
      <c r="I48"/>
      <c r="L48" s="579"/>
      <c r="M48"/>
    </row>
    <row r="49" spans="1:14" x14ac:dyDescent="0.2">
      <c r="B49" s="15"/>
      <c r="C49" s="15"/>
      <c r="D49" s="14"/>
      <c r="L49" s="14"/>
    </row>
    <row r="50" spans="1:14" x14ac:dyDescent="0.2">
      <c r="B50" s="15"/>
      <c r="C50" s="15"/>
      <c r="F50" s="11">
        <f>F35+1</f>
        <v>4</v>
      </c>
      <c r="H50" s="14"/>
      <c r="J50" s="11">
        <v>17</v>
      </c>
      <c r="L50" s="580"/>
      <c r="M50" s="580"/>
      <c r="N50" s="11">
        <v>28</v>
      </c>
    </row>
    <row r="51" spans="1:14" x14ac:dyDescent="0.2">
      <c r="B51" s="15"/>
      <c r="C51" s="15"/>
      <c r="E51" s="10" t="s">
        <v>121</v>
      </c>
      <c r="F51" s="16">
        <f>VLOOKUP(F50,競漕日程!$A$4:$D$45,2)</f>
        <v>0.51666666666666705</v>
      </c>
      <c r="I51" s="10" t="s">
        <v>121</v>
      </c>
      <c r="J51" s="16">
        <f>VLOOKUP(J50,競漕日程!$A$4:$D$45,2)</f>
        <v>0.64166666666666705</v>
      </c>
      <c r="M51" s="184" t="s">
        <v>121</v>
      </c>
      <c r="N51" s="16">
        <f>VLOOKUP(N50,競漕日程!$A$4:$D$45,2)</f>
        <v>0.40277777777777801</v>
      </c>
    </row>
    <row r="52" spans="1:14" x14ac:dyDescent="0.2">
      <c r="A52" s="10">
        <v>32</v>
      </c>
      <c r="B52" s="581" t="str">
        <f>IF(INDEX('１×Ｍ'!$B$2:$J$50,MATCH(A52,'１×Ｍ'!$B$3:$B$50,),MATCH($B$5,'１×Ｍ'!$B$2:$J$2,))&lt;&gt;"",INDEX('１×Ｍ'!$B$3:$J$50,MATCH(A52,'１×Ｍ'!$B$3:$B$50,),MATCH($B$5,'１×Ｍ'!$B$2:$J$2,)),"")</f>
        <v>沼津東高校D</v>
      </c>
      <c r="C52" s="581" t="str">
        <f>IF(INDEX('１×Ｍ'!$B$2:$J$50,MATCH(A52,'１×Ｍ'!$B$3:$B$50,),MATCH($C$5,'１×Ｍ'!$B$2:$J$2,))&lt;&gt;"",INDEX('１×Ｍ'!$B$3:$J$50,MATCH(A52,'１×Ｍ'!$B$3:$B$50,),MATCH($C$5,'１×Ｍ'!$B$2:$J$2,)),"")</f>
        <v>野中</v>
      </c>
      <c r="D52" s="582">
        <v>1</v>
      </c>
      <c r="H52" s="582">
        <v>1</v>
      </c>
      <c r="L52" s="579"/>
    </row>
    <row r="53" spans="1:14" x14ac:dyDescent="0.2">
      <c r="B53" s="581"/>
      <c r="C53" s="581"/>
      <c r="D53" s="582"/>
      <c r="E53" s="212"/>
      <c r="H53" s="582"/>
      <c r="I53" s="383" t="s">
        <v>1176</v>
      </c>
      <c r="L53" s="579"/>
      <c r="M53"/>
    </row>
    <row r="54" spans="1:14" x14ac:dyDescent="0.2">
      <c r="A54" s="10">
        <v>40</v>
      </c>
      <c r="B54" s="581" t="str">
        <f>IF(INDEX('１×Ｍ'!$B$2:$J$50,MATCH(A54,'１×Ｍ'!$B$3:$B$50,),MATCH($B$5,'１×Ｍ'!$B$2:$J$2,))&lt;&gt;"",INDEX('１×Ｍ'!$B$3:$J$50,MATCH(A54,'１×Ｍ'!$B$3:$B$50,),MATCH($B$5,'１×Ｍ'!$B$2:$J$2,)),"")</f>
        <v>湖西高校B</v>
      </c>
      <c r="C54" s="581" t="str">
        <f>IF(INDEX('１×Ｍ'!$B$2:$J$50,MATCH(A54,'１×Ｍ'!$B$3:$B$50,),MATCH($C$5,'１×Ｍ'!$B$2:$J$2,))&lt;&gt;"",INDEX('１×Ｍ'!$B$3:$J$50,MATCH(A54,'１×Ｍ'!$B$3:$B$50,),MATCH($C$5,'１×Ｍ'!$B$2:$J$2,)),"")</f>
        <v>守屋</v>
      </c>
      <c r="D54" s="582">
        <v>2</v>
      </c>
      <c r="E54" s="115"/>
      <c r="H54" s="582">
        <v>2</v>
      </c>
      <c r="I54" s="115"/>
      <c r="L54" s="579">
        <v>2</v>
      </c>
      <c r="M54" s="113"/>
    </row>
    <row r="55" spans="1:14" x14ac:dyDescent="0.2">
      <c r="B55" s="581"/>
      <c r="C55" s="581"/>
      <c r="D55" s="582"/>
      <c r="E55" s="212"/>
      <c r="H55" s="582"/>
      <c r="I55" s="383" t="s">
        <v>1166</v>
      </c>
      <c r="L55" s="579"/>
      <c r="M55" t="s">
        <v>1195</v>
      </c>
      <c r="N55" s="348"/>
    </row>
    <row r="56" spans="1:14" x14ac:dyDescent="0.2">
      <c r="A56" s="10">
        <v>2</v>
      </c>
      <c r="B56" s="581" t="str">
        <f>IF(INDEX('１×Ｍ'!$B$2:$J$50,MATCH(A56,'１×Ｍ'!$B$3:$B$50,),MATCH($B$5,'１×Ｍ'!$B$2:$J$2,))&lt;&gt;"",INDEX('１×Ｍ'!$B$3:$J$50,MATCH(A56,'１×Ｍ'!$B$3:$B$50,),MATCH($B$5,'１×Ｍ'!$B$2:$J$2,)),"")</f>
        <v>新居高校B</v>
      </c>
      <c r="C56" s="581" t="str">
        <f>IF(INDEX('１×Ｍ'!$B$2:$J$50,MATCH(A56,'１×Ｍ'!$B$3:$B$50,),MATCH($C$5,'１×Ｍ'!$B$2:$J$2,))&lt;&gt;"",INDEX('１×Ｍ'!$B$3:$J$50,MATCH(A56,'１×Ｍ'!$B$3:$B$50,),MATCH($C$5,'１×Ｍ'!$B$2:$J$2,)),"")</f>
        <v>内山</v>
      </c>
      <c r="D56" s="582">
        <v>3</v>
      </c>
      <c r="E56" s="112"/>
      <c r="H56" s="582">
        <v>3</v>
      </c>
      <c r="I56" s="112"/>
      <c r="L56" s="579">
        <v>3</v>
      </c>
      <c r="M56" s="112"/>
      <c r="N56" s="348"/>
    </row>
    <row r="57" spans="1:14" x14ac:dyDescent="0.2">
      <c r="B57" s="581"/>
      <c r="C57" s="581"/>
      <c r="D57" s="582"/>
      <c r="E57" s="114"/>
      <c r="F57" s="349"/>
      <c r="H57" s="582"/>
      <c r="I57" s="152" t="s">
        <v>1156</v>
      </c>
      <c r="J57" s="349"/>
      <c r="L57" s="579"/>
      <c r="M57" s="152" t="s">
        <v>1183</v>
      </c>
      <c r="N57" s="350"/>
    </row>
    <row r="58" spans="1:14" x14ac:dyDescent="0.2">
      <c r="A58" s="10">
        <v>9</v>
      </c>
      <c r="B58" s="581" t="str">
        <f>IF(INDEX('１×Ｍ'!$B$2:$J$50,MATCH(A58,'１×Ｍ'!$B$3:$B$50,),MATCH($B$5,'１×Ｍ'!$B$2:$J$2,))&lt;&gt;"",INDEX('１×Ｍ'!$B$3:$J$50,MATCH(A58,'１×Ｍ'!$B$3:$B$50,),MATCH($B$5,'１×Ｍ'!$B$2:$J$2,)),"")</f>
        <v>浜松大平台高校B</v>
      </c>
      <c r="C58" s="581" t="str">
        <f>IF(INDEX('１×Ｍ'!$B$2:$J$50,MATCH(A58,'１×Ｍ'!$B$3:$B$50,),MATCH($C$5,'１×Ｍ'!$B$2:$J$2,))&lt;&gt;"",INDEX('１×Ｍ'!$B$3:$J$50,MATCH(A58,'１×Ｍ'!$B$3:$B$50,),MATCH($C$5,'１×Ｍ'!$B$2:$J$2,)),"")</f>
        <v>佐原</v>
      </c>
      <c r="D58" s="582">
        <v>4</v>
      </c>
      <c r="F58" s="350"/>
      <c r="H58" s="582">
        <v>4</v>
      </c>
      <c r="J58" s="350"/>
      <c r="L58" s="579">
        <v>4</v>
      </c>
      <c r="N58" s="348"/>
    </row>
    <row r="59" spans="1:14" x14ac:dyDescent="0.2">
      <c r="B59" s="581"/>
      <c r="C59" s="581"/>
      <c r="D59" s="582"/>
      <c r="E59" s="212"/>
      <c r="H59" s="582"/>
      <c r="I59" s="383" t="s">
        <v>1159</v>
      </c>
      <c r="L59" s="579"/>
      <c r="M59" s="152" t="s">
        <v>1188</v>
      </c>
      <c r="N59" s="348"/>
    </row>
    <row r="60" spans="1:14" x14ac:dyDescent="0.2">
      <c r="A60" s="10">
        <v>26</v>
      </c>
      <c r="B60" s="581" t="str">
        <f>IF(INDEX('１×Ｍ'!$B$2:$J$50,MATCH(A60,'１×Ｍ'!$B$3:$B$50,),MATCH($B$5,'１×Ｍ'!$B$2:$J$2,))&lt;&gt;"",INDEX('１×Ｍ'!$B$3:$J$50,MATCH(A60,'１×Ｍ'!$B$3:$B$50,),MATCH($B$5,'１×Ｍ'!$B$2:$J$2,)),"")</f>
        <v>天竜高校E</v>
      </c>
      <c r="C60" s="581" t="str">
        <f>IF(INDEX('１×Ｍ'!$B$2:$J$50,MATCH(A60,'１×Ｍ'!$B$3:$B$50,),MATCH($C$5,'１×Ｍ'!$B$2:$J$2,))&lt;&gt;"",INDEX('１×Ｍ'!$B$3:$J$50,MATCH(A60,'１×Ｍ'!$B$3:$B$50,),MATCH($C$5,'１×Ｍ'!$B$2:$J$2,)),"")</f>
        <v>青嶋</v>
      </c>
      <c r="D60" s="582">
        <v>5</v>
      </c>
      <c r="E60" s="112"/>
      <c r="H60" s="582">
        <v>5</v>
      </c>
      <c r="I60" s="112"/>
      <c r="L60" s="579">
        <v>5</v>
      </c>
      <c r="M60" s="115"/>
      <c r="N60" s="348"/>
    </row>
    <row r="61" spans="1:14" x14ac:dyDescent="0.2">
      <c r="B61" s="581"/>
      <c r="C61" s="581"/>
      <c r="D61" s="582"/>
      <c r="E61" s="212"/>
      <c r="H61" s="582"/>
      <c r="I61" s="383" t="s">
        <v>1169</v>
      </c>
      <c r="L61" s="579"/>
      <c r="M61" t="s">
        <v>1198</v>
      </c>
    </row>
    <row r="62" spans="1:14" x14ac:dyDescent="0.2">
      <c r="A62" s="10">
        <v>20</v>
      </c>
      <c r="B62" s="581" t="str">
        <f>IF(INDEX('１×Ｍ'!$B$2:$J$50,MATCH(A62,'１×Ｍ'!$B$3:$B$50,),MATCH($B$5,'１×Ｍ'!$B$2:$J$2,))&lt;&gt;"",INDEX('１×Ｍ'!$B$3:$J$50,MATCH(A62,'１×Ｍ'!$B$3:$B$50,),MATCH($B$5,'１×Ｍ'!$B$2:$J$2,)),"")</f>
        <v>浜松湖南高校G</v>
      </c>
      <c r="C62" s="581" t="str">
        <f>IF(INDEX('１×Ｍ'!$B$2:$J$50,MATCH(A62,'１×Ｍ'!$B$3:$B$50,),MATCH($C$5,'１×Ｍ'!$B$2:$J$2,))&lt;&gt;"",INDEX('１×Ｍ'!$B$3:$J$50,MATCH(A62,'１×Ｍ'!$B$3:$B$50,),MATCH($C$5,'１×Ｍ'!$B$2:$J$2,)),"")</f>
        <v>高須</v>
      </c>
      <c r="D62" s="582">
        <v>6</v>
      </c>
      <c r="E62" s="115"/>
      <c r="H62" s="582">
        <v>6</v>
      </c>
      <c r="I62" s="115"/>
      <c r="L62" s="579"/>
    </row>
    <row r="63" spans="1:14" x14ac:dyDescent="0.2">
      <c r="B63" s="581"/>
      <c r="C63" s="581"/>
      <c r="D63" s="582"/>
      <c r="H63" s="582"/>
      <c r="I63" t="s">
        <v>1179</v>
      </c>
      <c r="L63" s="579"/>
      <c r="M63"/>
    </row>
    <row r="64" spans="1:14" ht="14.15" customHeight="1" x14ac:dyDescent="0.2">
      <c r="B64" s="15"/>
      <c r="C64" s="15"/>
      <c r="D64" s="14"/>
      <c r="L64" s="14"/>
    </row>
    <row r="65" spans="1:14" ht="14.15" customHeight="1" x14ac:dyDescent="0.2">
      <c r="B65" s="15"/>
      <c r="C65" s="15"/>
      <c r="D65" s="14"/>
      <c r="F65" s="11">
        <f>F50+1</f>
        <v>5</v>
      </c>
      <c r="H65" s="14"/>
      <c r="J65" s="11">
        <v>18</v>
      </c>
      <c r="L65" s="580"/>
      <c r="M65" s="580"/>
      <c r="N65" s="11">
        <v>29</v>
      </c>
    </row>
    <row r="66" spans="1:14" ht="14.15" customHeight="1" x14ac:dyDescent="0.2">
      <c r="E66" s="10" t="s">
        <v>122</v>
      </c>
      <c r="F66" s="16">
        <f>VLOOKUP(F65,競漕日程!$A$4:$D$45,2)</f>
        <v>0.52222222222222203</v>
      </c>
      <c r="I66" t="s">
        <v>122</v>
      </c>
      <c r="J66" s="16">
        <f>VLOOKUP(J65,競漕日程!$A$4:$D$45,2)</f>
        <v>0.64722222222222203</v>
      </c>
      <c r="K66" s="110"/>
      <c r="M66" s="184" t="s">
        <v>122</v>
      </c>
      <c r="N66" s="16">
        <f>VLOOKUP(N65,競漕日程!$A$4:$D$45,2)</f>
        <v>0.40833333333333299</v>
      </c>
    </row>
    <row r="67" spans="1:14" ht="14.15" customHeight="1" x14ac:dyDescent="0.2">
      <c r="A67" s="10">
        <v>12</v>
      </c>
      <c r="B67" s="581" t="str">
        <f>IF(INDEX('１×Ｍ'!$B$2:$J$50,MATCH(A67,'１×Ｍ'!$B$3:$B$50,),MATCH($B$5,'１×Ｍ'!$B$2:$J$2,))&lt;&gt;"",INDEX('１×Ｍ'!$B$3:$J$50,MATCH(A67,'１×Ｍ'!$B$3:$B$50,),MATCH($B$5,'１×Ｍ'!$B$2:$J$2,)),"")</f>
        <v>浜松大平台高校E</v>
      </c>
      <c r="C67" s="581" t="str">
        <f>IF(INDEX('１×Ｍ'!$B$2:$J$50,MATCH(A67,'１×Ｍ'!$B$3:$B$50,),MATCH($C$5,'１×Ｍ'!$B$2:$J$2,))&lt;&gt;"",INDEX('１×Ｍ'!$B$3:$J$50,MATCH(A67,'１×Ｍ'!$B$3:$B$50,),MATCH($C$5,'１×Ｍ'!$B$2:$J$2,)),"")</f>
        <v>堀部</v>
      </c>
      <c r="D67" s="582">
        <v>1</v>
      </c>
      <c r="H67" s="582">
        <v>1</v>
      </c>
      <c r="L67" s="579"/>
    </row>
    <row r="68" spans="1:14" ht="14.15" customHeight="1" x14ac:dyDescent="0.2">
      <c r="B68" s="581"/>
      <c r="C68" s="581"/>
      <c r="D68" s="582"/>
      <c r="E68" s="212"/>
      <c r="H68" s="582"/>
      <c r="I68" s="383" t="s">
        <v>1177</v>
      </c>
      <c r="L68" s="579"/>
      <c r="M68"/>
    </row>
    <row r="69" spans="1:14" ht="14.15" customHeight="1" x14ac:dyDescent="0.2">
      <c r="A69" s="10">
        <v>3</v>
      </c>
      <c r="B69" s="581" t="str">
        <f>IF(INDEX('１×Ｍ'!$B$2:$J$50,MATCH(A69,'１×Ｍ'!$B$3:$B$50,),MATCH($B$5,'１×Ｍ'!$B$2:$J$2,))&lt;&gt;"",INDEX('１×Ｍ'!$B$3:$J$50,MATCH(A69,'１×Ｍ'!$B$3:$B$50,),MATCH($B$5,'１×Ｍ'!$B$2:$J$2,)),"")</f>
        <v>新居高校C</v>
      </c>
      <c r="C69" s="581" t="str">
        <f>IF(INDEX('１×Ｍ'!$B$2:$J$50,MATCH(A69,'１×Ｍ'!$B$3:$B$50,),MATCH($C$5,'１×Ｍ'!$B$2:$J$2,))&lt;&gt;"",INDEX('１×Ｍ'!$B$3:$J$50,MATCH(A69,'１×Ｍ'!$B$3:$B$50,),MATCH($C$5,'１×Ｍ'!$B$2:$J$2,)),"")</f>
        <v>魚住</v>
      </c>
      <c r="D69" s="582">
        <v>2</v>
      </c>
      <c r="E69" s="115"/>
      <c r="H69" s="582">
        <v>2</v>
      </c>
      <c r="I69" s="115"/>
      <c r="L69" s="579">
        <v>2</v>
      </c>
      <c r="M69" s="113"/>
    </row>
    <row r="70" spans="1:14" ht="14.15" customHeight="1" x14ac:dyDescent="0.2">
      <c r="B70" s="581"/>
      <c r="C70" s="581"/>
      <c r="D70" s="582"/>
      <c r="E70" s="212"/>
      <c r="H70" s="582"/>
      <c r="I70" s="383" t="s">
        <v>1167</v>
      </c>
      <c r="L70" s="579"/>
      <c r="M70" t="s">
        <v>1196</v>
      </c>
      <c r="N70" s="348"/>
    </row>
    <row r="71" spans="1:14" ht="14.15" customHeight="1" x14ac:dyDescent="0.2">
      <c r="A71" s="10">
        <v>33</v>
      </c>
      <c r="B71" s="581" t="str">
        <f>IF(INDEX('１×Ｍ'!$B$2:$J$50,MATCH(A71,'１×Ｍ'!$B$3:$B$50,),MATCH($B$5,'１×Ｍ'!$B$2:$J$2,))&lt;&gt;"",INDEX('１×Ｍ'!$B$3:$J$50,MATCH(A71,'１×Ｍ'!$B$3:$B$50,),MATCH($B$5,'１×Ｍ'!$B$2:$J$2,)),"")</f>
        <v>浜松西高校A</v>
      </c>
      <c r="C71" s="581" t="str">
        <f>IF(INDEX('１×Ｍ'!$B$2:$J$50,MATCH(A71,'１×Ｍ'!$B$3:$B$50,),MATCH($C$5,'１×Ｍ'!$B$2:$J$2,))&lt;&gt;"",INDEX('１×Ｍ'!$B$3:$J$50,MATCH(A71,'１×Ｍ'!$B$3:$B$50,),MATCH($C$5,'１×Ｍ'!$B$2:$J$2,)),"")</f>
        <v>森本</v>
      </c>
      <c r="D71" s="582">
        <v>3</v>
      </c>
      <c r="E71" s="112"/>
      <c r="H71" s="582">
        <v>3</v>
      </c>
      <c r="I71" s="112"/>
      <c r="L71" s="579">
        <v>3</v>
      </c>
      <c r="M71" s="112"/>
      <c r="N71" s="348"/>
    </row>
    <row r="72" spans="1:14" ht="14.15" customHeight="1" x14ac:dyDescent="0.2">
      <c r="B72" s="581"/>
      <c r="C72" s="581"/>
      <c r="D72" s="582"/>
      <c r="E72" s="114"/>
      <c r="F72" s="349"/>
      <c r="H72" s="582"/>
      <c r="I72" s="152" t="s">
        <v>1157</v>
      </c>
      <c r="J72" s="349"/>
      <c r="L72" s="579"/>
      <c r="M72" s="152" t="s">
        <v>1184</v>
      </c>
      <c r="N72" s="350"/>
    </row>
    <row r="73" spans="1:14" ht="14.15" customHeight="1" x14ac:dyDescent="0.2">
      <c r="A73" s="10">
        <v>39</v>
      </c>
      <c r="B73" s="581" t="str">
        <f>IF(INDEX('１×Ｍ'!$B$2:$J$50,MATCH(A73,'１×Ｍ'!$B$3:$B$50,),MATCH($B$5,'１×Ｍ'!$B$2:$J$2,))&lt;&gt;"",INDEX('１×Ｍ'!$B$3:$J$50,MATCH(A73,'１×Ｍ'!$B$3:$B$50,),MATCH($B$5,'１×Ｍ'!$B$2:$J$2,)),"")</f>
        <v>湖西高校A</v>
      </c>
      <c r="C73" s="581" t="str">
        <f>IF(INDEX('１×Ｍ'!$B$2:$J$50,MATCH(A73,'１×Ｍ'!$B$3:$B$50,),MATCH($C$5,'１×Ｍ'!$B$2:$J$2,))&lt;&gt;"",INDEX('１×Ｍ'!$B$3:$J$50,MATCH(A73,'１×Ｍ'!$B$3:$B$50,),MATCH($C$5,'１×Ｍ'!$B$2:$J$2,)),"")</f>
        <v>石田</v>
      </c>
      <c r="D73" s="582">
        <v>4</v>
      </c>
      <c r="F73" s="350"/>
      <c r="H73" s="582">
        <v>4</v>
      </c>
      <c r="J73" s="350"/>
      <c r="L73" s="579">
        <v>4</v>
      </c>
      <c r="N73" s="348"/>
    </row>
    <row r="74" spans="1:14" ht="14.15" customHeight="1" x14ac:dyDescent="0.2">
      <c r="B74" s="581"/>
      <c r="C74" s="581"/>
      <c r="D74" s="582"/>
      <c r="E74" s="212"/>
      <c r="H74" s="582"/>
      <c r="I74" s="383" t="s">
        <v>1158</v>
      </c>
      <c r="L74" s="579"/>
      <c r="M74" s="152" t="s">
        <v>1187</v>
      </c>
      <c r="N74" s="348"/>
    </row>
    <row r="75" spans="1:14" ht="14.15" customHeight="1" x14ac:dyDescent="0.2">
      <c r="A75" s="10">
        <v>37</v>
      </c>
      <c r="B75" s="581" t="str">
        <f>IF(INDEX('１×Ｍ'!$B$2:$J$50,MATCH(A75,'１×Ｍ'!$B$3:$B$50,),MATCH($B$5,'１×Ｍ'!$B$2:$J$2,))&lt;&gt;"",INDEX('１×Ｍ'!$B$3:$J$50,MATCH(A75,'１×Ｍ'!$B$3:$B$50,),MATCH($B$5,'１×Ｍ'!$B$2:$J$2,)),"")</f>
        <v>浜松北高校C</v>
      </c>
      <c r="C75" s="581" t="str">
        <f>IF(INDEX('１×Ｍ'!$B$2:$J$50,MATCH(A75,'１×Ｍ'!$B$3:$B$50,),MATCH($C$5,'１×Ｍ'!$B$2:$J$2,))&lt;&gt;"",INDEX('１×Ｍ'!$B$3:$J$50,MATCH(A75,'１×Ｍ'!$B$3:$B$50,),MATCH($C$5,'１×Ｍ'!$B$2:$J$2,)),"")</f>
        <v>見山</v>
      </c>
      <c r="D75" s="582">
        <v>5</v>
      </c>
      <c r="E75" s="112"/>
      <c r="H75" s="582">
        <v>5</v>
      </c>
      <c r="I75" s="112"/>
      <c r="L75" s="579">
        <v>5</v>
      </c>
      <c r="M75" s="115"/>
      <c r="N75" s="348"/>
    </row>
    <row r="76" spans="1:14" ht="14.15" customHeight="1" x14ac:dyDescent="0.2">
      <c r="B76" s="581"/>
      <c r="C76" s="581"/>
      <c r="D76" s="582"/>
      <c r="E76" s="212"/>
      <c r="H76" s="582"/>
      <c r="I76" s="383" t="s">
        <v>1168</v>
      </c>
      <c r="L76" s="579"/>
      <c r="M76" t="s">
        <v>1137</v>
      </c>
    </row>
    <row r="77" spans="1:14" ht="14.15" customHeight="1" x14ac:dyDescent="0.2">
      <c r="A77" s="10">
        <v>19</v>
      </c>
      <c r="B77" s="581" t="str">
        <f>IF(INDEX('１×Ｍ'!$B$2:$J$50,MATCH(A77,'１×Ｍ'!$B$3:$B$50,),MATCH($B$5,'１×Ｍ'!$B$2:$J$2,))&lt;&gt;"",INDEX('１×Ｍ'!$B$3:$J$50,MATCH(A77,'１×Ｍ'!$B$3:$B$50,),MATCH($B$5,'１×Ｍ'!$B$2:$J$2,)),"")</f>
        <v>浜松湖南高校F</v>
      </c>
      <c r="C77" s="581" t="str">
        <f>IF(INDEX('１×Ｍ'!$B$2:$J$50,MATCH(A77,'１×Ｍ'!$B$3:$B$50,),MATCH($C$5,'１×Ｍ'!$B$2:$J$2,))&lt;&gt;"",INDEX('１×Ｍ'!$B$3:$J$50,MATCH(A77,'１×Ｍ'!$B$3:$B$50,),MATCH($C$5,'１×Ｍ'!$B$2:$J$2,)),"")</f>
        <v>影原</v>
      </c>
      <c r="D77" s="582">
        <v>6</v>
      </c>
      <c r="E77" s="115"/>
      <c r="H77" s="582">
        <v>6</v>
      </c>
      <c r="I77" s="115"/>
      <c r="L77" s="579"/>
    </row>
    <row r="78" spans="1:14" x14ac:dyDescent="0.2">
      <c r="B78" s="581"/>
      <c r="C78" s="581"/>
      <c r="D78" s="582"/>
      <c r="H78" s="582"/>
      <c r="I78" t="s">
        <v>1178</v>
      </c>
      <c r="L78" s="579"/>
      <c r="M78"/>
    </row>
    <row r="79" spans="1:14" x14ac:dyDescent="0.2">
      <c r="B79" s="15"/>
      <c r="C79" s="15"/>
      <c r="D79" s="14"/>
      <c r="H79" s="14"/>
      <c r="L79" s="14"/>
    </row>
    <row r="80" spans="1:14" x14ac:dyDescent="0.2">
      <c r="B80" s="15"/>
      <c r="C80" s="15"/>
      <c r="D80" s="14"/>
      <c r="F80" s="11">
        <f>F65+1</f>
        <v>6</v>
      </c>
      <c r="H80" s="14"/>
      <c r="L80" s="580"/>
      <c r="M80" s="580"/>
      <c r="N80" s="11">
        <v>30</v>
      </c>
    </row>
    <row r="81" spans="1:14" x14ac:dyDescent="0.2">
      <c r="E81" t="s">
        <v>48</v>
      </c>
      <c r="F81" s="16">
        <f>VLOOKUP(F80,競漕日程!$A$4:$D$45,2)</f>
        <v>0.52777777777777801</v>
      </c>
      <c r="I81"/>
      <c r="J81" s="16"/>
      <c r="M81" s="184" t="s">
        <v>48</v>
      </c>
      <c r="N81" s="16">
        <f>VLOOKUP(N80,競漕日程!$A$4:$D$45,2)</f>
        <v>0.41388888888888897</v>
      </c>
    </row>
    <row r="82" spans="1:14" x14ac:dyDescent="0.2">
      <c r="A82" s="10">
        <v>18</v>
      </c>
      <c r="B82" s="581" t="str">
        <f>IF(INDEX('１×Ｍ'!$B$2:$J$50,MATCH(A82,'１×Ｍ'!$B$3:$B$50,),MATCH($B$5,'１×Ｍ'!$B$2:$J$2,))&lt;&gt;"",INDEX('１×Ｍ'!$B$3:$J$50,MATCH(A82,'１×Ｍ'!$B$3:$B$50,),MATCH($B$5,'１×Ｍ'!$B$2:$J$2,)),"")</f>
        <v>浜松湖南高校E</v>
      </c>
      <c r="C82" s="581" t="str">
        <f>IF(INDEX('１×Ｍ'!$B$2:$J$50,MATCH(A82,'１×Ｍ'!$B$3:$B$50,),MATCH($C$5,'１×Ｍ'!$B$2:$J$2,))&lt;&gt;"",INDEX('１×Ｍ'!$B$3:$J$50,MATCH(A82,'１×Ｍ'!$B$3:$B$50,),MATCH($C$5,'１×Ｍ'!$B$2:$J$2,)),"")</f>
        <v>近藤</v>
      </c>
      <c r="D82" s="582">
        <v>1</v>
      </c>
      <c r="H82" s="582"/>
      <c r="I82"/>
      <c r="L82" s="579"/>
    </row>
    <row r="83" spans="1:14" x14ac:dyDescent="0.2">
      <c r="B83" s="581"/>
      <c r="C83" s="581"/>
      <c r="D83" s="582"/>
      <c r="E83" s="212"/>
      <c r="H83" s="582"/>
      <c r="I83"/>
      <c r="L83" s="579"/>
      <c r="M83"/>
    </row>
    <row r="84" spans="1:14" x14ac:dyDescent="0.2">
      <c r="A84" s="10">
        <v>10</v>
      </c>
      <c r="B84" s="581" t="str">
        <f>IF(INDEX('１×Ｍ'!$B$2:$J$50,MATCH(A84,'１×Ｍ'!$B$3:$B$50,),MATCH($B$5,'１×Ｍ'!$B$2:$J$2,))&lt;&gt;"",INDEX('１×Ｍ'!$B$3:$J$50,MATCH(A84,'１×Ｍ'!$B$3:$B$50,),MATCH($B$5,'１×Ｍ'!$B$2:$J$2,)),"")</f>
        <v>浜松大平台高校C</v>
      </c>
      <c r="C84" s="581" t="str">
        <f>IF(INDEX('１×Ｍ'!$B$2:$J$50,MATCH(A84,'１×Ｍ'!$B$3:$B$50,),MATCH($C$5,'１×Ｍ'!$B$2:$J$2,))&lt;&gt;"",INDEX('１×Ｍ'!$B$3:$J$50,MATCH(A84,'１×Ｍ'!$B$3:$B$50,),MATCH($C$5,'１×Ｍ'!$B$2:$J$2,)),"")</f>
        <v>鈴木</v>
      </c>
      <c r="D84" s="582">
        <v>2</v>
      </c>
      <c r="E84" s="115"/>
      <c r="H84" s="579"/>
      <c r="L84" s="579">
        <v>2</v>
      </c>
      <c r="M84" s="113"/>
    </row>
    <row r="85" spans="1:14" x14ac:dyDescent="0.2">
      <c r="B85" s="581"/>
      <c r="C85" s="581"/>
      <c r="D85" s="582"/>
      <c r="E85" s="212"/>
      <c r="H85" s="579"/>
      <c r="I85"/>
      <c r="L85" s="579"/>
      <c r="M85" t="s">
        <v>1197</v>
      </c>
      <c r="N85" s="348"/>
    </row>
    <row r="86" spans="1:14" x14ac:dyDescent="0.2">
      <c r="A86" s="10">
        <v>1</v>
      </c>
      <c r="B86" s="581" t="str">
        <f>IF(INDEX('１×Ｍ'!$B$2:$J$50,MATCH(A86,'１×Ｍ'!$B$3:$B$50,),MATCH($B$5,'１×Ｍ'!$B$2:$J$2,))&lt;&gt;"",INDEX('１×Ｍ'!$B$3:$J$50,MATCH(A86,'１×Ｍ'!$B$3:$B$50,),MATCH($B$5,'１×Ｍ'!$B$2:$J$2,)),"")</f>
        <v>新居高校A</v>
      </c>
      <c r="C86" s="581" t="str">
        <f>IF(INDEX('１×Ｍ'!$B$2:$J$50,MATCH(A86,'１×Ｍ'!$B$3:$B$50,),MATCH($C$5,'１×Ｍ'!$B$2:$J$2,))&lt;&gt;"",INDEX('１×Ｍ'!$B$3:$J$50,MATCH(A86,'１×Ｍ'!$B$3:$B$50,),MATCH($C$5,'１×Ｍ'!$B$2:$J$2,)),"")</f>
        <v>髙村</v>
      </c>
      <c r="D86" s="582">
        <v>3</v>
      </c>
      <c r="E86" s="112"/>
      <c r="H86" s="579"/>
      <c r="L86" s="579">
        <v>3</v>
      </c>
      <c r="M86" s="112"/>
      <c r="N86" s="348"/>
    </row>
    <row r="87" spans="1:14" x14ac:dyDescent="0.2">
      <c r="B87" s="581"/>
      <c r="C87" s="581"/>
      <c r="D87" s="582"/>
      <c r="E87" s="114"/>
      <c r="F87" s="349"/>
      <c r="H87" s="579"/>
      <c r="I87"/>
      <c r="L87" s="579"/>
      <c r="M87" s="152" t="s">
        <v>1185</v>
      </c>
      <c r="N87" s="350"/>
    </row>
    <row r="88" spans="1:14" x14ac:dyDescent="0.2">
      <c r="A88" s="10">
        <v>35</v>
      </c>
      <c r="B88" s="581" t="str">
        <f>IF(INDEX('１×Ｍ'!$B$2:$J$50,MATCH(A88,'１×Ｍ'!$B$3:$B$50,),MATCH($B$5,'１×Ｍ'!$B$2:$J$2,))&lt;&gt;"",INDEX('１×Ｍ'!$B$3:$J$50,MATCH(A88,'１×Ｍ'!$B$3:$B$50,),MATCH($B$5,'１×Ｍ'!$B$2:$J$2,)),"")</f>
        <v>浜松北高校A</v>
      </c>
      <c r="C88" s="581" t="str">
        <f>IF(INDEX('１×Ｍ'!$B$2:$J$50,MATCH(A88,'１×Ｍ'!$B$3:$B$50,),MATCH($C$5,'１×Ｍ'!$B$2:$J$2,))&lt;&gt;"",INDEX('１×Ｍ'!$B$3:$J$50,MATCH(A88,'１×Ｍ'!$B$3:$B$50,),MATCH($C$5,'１×Ｍ'!$B$2:$J$2,)),"")</f>
        <v>戸川</v>
      </c>
      <c r="D88" s="582">
        <v>4</v>
      </c>
      <c r="F88" s="350"/>
      <c r="H88" s="579"/>
      <c r="L88" s="579">
        <v>4</v>
      </c>
      <c r="N88" s="348"/>
    </row>
    <row r="89" spans="1:14" x14ac:dyDescent="0.2">
      <c r="B89" s="581"/>
      <c r="C89" s="581"/>
      <c r="D89" s="582"/>
      <c r="E89" s="212"/>
      <c r="H89" s="579"/>
      <c r="I89"/>
      <c r="L89" s="579"/>
      <c r="M89" s="152" t="s">
        <v>1186</v>
      </c>
      <c r="N89" s="348"/>
    </row>
    <row r="90" spans="1:14" x14ac:dyDescent="0.2">
      <c r="A90" s="10">
        <v>31</v>
      </c>
      <c r="B90" s="581" t="str">
        <f>IF(INDEX('１×Ｍ'!$B$2:$J$50,MATCH(A90,'１×Ｍ'!$B$3:$B$50,),MATCH($B$5,'１×Ｍ'!$B$2:$J$2,))&lt;&gt;"",INDEX('１×Ｍ'!$B$3:$J$50,MATCH(A90,'１×Ｍ'!$B$3:$B$50,),MATCH($B$5,'１×Ｍ'!$B$2:$J$2,)),"")</f>
        <v>沼津東高校C</v>
      </c>
      <c r="C90" s="581" t="str">
        <f>IF(INDEX('１×Ｍ'!$B$2:$J$50,MATCH(A90,'１×Ｍ'!$B$3:$B$50,),MATCH($C$5,'１×Ｍ'!$B$2:$J$2,))&lt;&gt;"",INDEX('１×Ｍ'!$B$3:$J$50,MATCH(A90,'１×Ｍ'!$B$3:$B$50,),MATCH($C$5,'１×Ｍ'!$B$2:$J$2,)),"")</f>
        <v>須田</v>
      </c>
      <c r="D90" s="582">
        <v>5</v>
      </c>
      <c r="E90" s="112"/>
      <c r="H90" s="579"/>
      <c r="L90" s="579">
        <v>5</v>
      </c>
      <c r="M90" s="115"/>
      <c r="N90" s="348"/>
    </row>
    <row r="91" spans="1:14" x14ac:dyDescent="0.2">
      <c r="B91" s="581"/>
      <c r="C91" s="581"/>
      <c r="D91" s="582"/>
      <c r="E91" s="212"/>
      <c r="H91" s="579"/>
      <c r="I91"/>
      <c r="L91" s="579"/>
      <c r="M91" t="s">
        <v>1136</v>
      </c>
    </row>
    <row r="92" spans="1:14" x14ac:dyDescent="0.2">
      <c r="A92" s="10">
        <v>41</v>
      </c>
      <c r="B92" s="581" t="str">
        <f>IF(INDEX('１×Ｍ'!$B$2:$J$50,MATCH(A92,'１×Ｍ'!$B$3:$B$50,),MATCH($B$5,'１×Ｍ'!$B$2:$J$2,))&lt;&gt;"",INDEX('１×Ｍ'!$B$3:$J$50,MATCH(A92,'１×Ｍ'!$B$3:$B$50,),MATCH($B$5,'１×Ｍ'!$B$2:$J$2,)),"")</f>
        <v>湖西高校C</v>
      </c>
      <c r="C92" s="581" t="str">
        <f>IF(INDEX('１×Ｍ'!$B$2:$J$50,MATCH(A92,'１×Ｍ'!$B$3:$B$50,),MATCH($C$5,'１×Ｍ'!$B$2:$J$2,))&lt;&gt;"",INDEX('１×Ｍ'!$B$3:$J$50,MATCH(A92,'１×Ｍ'!$B$3:$B$50,),MATCH($C$5,'１×Ｍ'!$B$2:$J$2,)),"")</f>
        <v>中村</v>
      </c>
      <c r="D92" s="582">
        <v>6</v>
      </c>
      <c r="E92" s="115"/>
      <c r="H92" s="579"/>
      <c r="L92" s="579"/>
    </row>
    <row r="93" spans="1:14" x14ac:dyDescent="0.2">
      <c r="B93" s="581"/>
      <c r="C93" s="581"/>
      <c r="D93" s="582"/>
      <c r="H93" s="579"/>
      <c r="I93"/>
      <c r="L93" s="579"/>
      <c r="M93"/>
    </row>
    <row r="94" spans="1:14" ht="14.25" customHeight="1" x14ac:dyDescent="0.2">
      <c r="B94" s="15"/>
      <c r="C94" s="15"/>
      <c r="D94" s="14"/>
      <c r="H94" s="14"/>
      <c r="L94" s="14"/>
    </row>
    <row r="95" spans="1:14" ht="14.15" customHeight="1" x14ac:dyDescent="0.2">
      <c r="B95" s="15"/>
      <c r="C95" s="15"/>
      <c r="D95" s="14"/>
      <c r="F95" s="11">
        <f>F80+1</f>
        <v>7</v>
      </c>
      <c r="H95" s="14"/>
      <c r="L95" s="14"/>
    </row>
    <row r="96" spans="1:14" ht="14.15" customHeight="1" x14ac:dyDescent="0.2">
      <c r="E96" t="s">
        <v>596</v>
      </c>
      <c r="F96" s="16">
        <v>0.5444444444444444</v>
      </c>
      <c r="I96"/>
      <c r="J96" s="16"/>
      <c r="K96" s="110"/>
      <c r="N96" s="16"/>
    </row>
    <row r="97" spans="1:18" ht="14.15" customHeight="1" x14ac:dyDescent="0.2">
      <c r="A97" s="10">
        <v>6</v>
      </c>
      <c r="B97" s="581" t="str">
        <f>IF(INDEX('１×Ｍ'!$B$2:$J$50,MATCH(A97,'１×Ｍ'!$B$3:$B$50,),MATCH($B$5,'１×Ｍ'!$B$2:$J$2,))&lt;&gt;"",INDEX('１×Ｍ'!$B$3:$J$50,MATCH(A97,'１×Ｍ'!$B$3:$B$50,),MATCH($B$5,'１×Ｍ'!$B$2:$J$2,)),"")</f>
        <v>新居高校F</v>
      </c>
      <c r="C97" s="581" t="str">
        <f>IF(INDEX('１×Ｍ'!$B$2:$J$50,MATCH(A97,'１×Ｍ'!$B$3:$B$50,),MATCH($C$5,'１×Ｍ'!$B$2:$J$2,))&lt;&gt;"",INDEX('１×Ｍ'!$B$3:$J$50,MATCH(A97,'１×Ｍ'!$B$3:$B$50,),MATCH($C$5,'１×Ｍ'!$B$2:$J$2,)),"")</f>
        <v>青木</v>
      </c>
      <c r="D97" s="582">
        <v>1</v>
      </c>
      <c r="H97" s="579"/>
      <c r="L97" s="579"/>
      <c r="R97" s="10"/>
    </row>
    <row r="98" spans="1:18" ht="14.15" customHeight="1" x14ac:dyDescent="0.2">
      <c r="B98" s="581"/>
      <c r="C98" s="581"/>
      <c r="D98" s="582"/>
      <c r="E98" s="212"/>
      <c r="H98" s="579"/>
      <c r="L98" s="579"/>
      <c r="R98" s="10"/>
    </row>
    <row r="99" spans="1:18" ht="14.15" customHeight="1" x14ac:dyDescent="0.2">
      <c r="A99" s="10">
        <v>16</v>
      </c>
      <c r="B99" s="583" t="str">
        <f>IF(INDEX('１×Ｍ'!$B$2:$J$50,MATCH(A99,'１×Ｍ'!$B$3:$B$50,),MATCH($B$5,'１×Ｍ'!$B$2:$J$2,))&lt;&gt;"",INDEX('１×Ｍ'!$B$3:$J$50,MATCH(A99,'１×Ｍ'!$B$3:$B$50,),MATCH($B$5,'１×Ｍ'!$B$2:$J$2,)),"")</f>
        <v>浜松湖南高校C</v>
      </c>
      <c r="C99" s="583" t="str">
        <f>IF(INDEX('１×Ｍ'!$B$2:$J$50,MATCH(A99,'１×Ｍ'!$B$3:$B$50,),MATCH($C$5,'１×Ｍ'!$B$2:$J$2,))&lt;&gt;"",INDEX('１×Ｍ'!$B$3:$J$50,MATCH(A99,'１×Ｍ'!$B$3:$B$50,),MATCH($C$5,'１×Ｍ'!$B$2:$J$2,)),"")</f>
        <v>米澤</v>
      </c>
      <c r="D99" s="582">
        <v>2</v>
      </c>
      <c r="E99" s="115"/>
      <c r="H99" s="579"/>
      <c r="L99" s="579"/>
      <c r="R99" s="10"/>
    </row>
    <row r="100" spans="1:18" ht="14.15" customHeight="1" x14ac:dyDescent="0.2">
      <c r="B100" s="583"/>
      <c r="C100" s="583"/>
      <c r="D100" s="582"/>
      <c r="E100" s="212"/>
      <c r="H100" s="579"/>
      <c r="L100" s="579"/>
      <c r="R100" s="10"/>
    </row>
    <row r="101" spans="1:18" ht="14.15" customHeight="1" x14ac:dyDescent="0.2">
      <c r="A101" s="10">
        <v>8</v>
      </c>
      <c r="B101" s="583" t="str">
        <f>IF(INDEX('１×Ｍ'!$B$2:$J$50,MATCH(A101,'１×Ｍ'!$B$3:$B$50,),MATCH($B$5,'１×Ｍ'!$B$2:$J$2,))&lt;&gt;"",INDEX('１×Ｍ'!$B$3:$J$50,MATCH(A101,'１×Ｍ'!$B$3:$B$50,),MATCH($B$5,'１×Ｍ'!$B$2:$J$2,)),"")</f>
        <v>浜松大平台高校A</v>
      </c>
      <c r="C101" s="583" t="str">
        <f>IF(INDEX('１×Ｍ'!$B$2:$J$50,MATCH(A101,'１×Ｍ'!$B$3:$B$50,),MATCH($C$5,'１×Ｍ'!$B$2:$J$2,))&lt;&gt;"",INDEX('１×Ｍ'!$B$3:$J$50,MATCH(A101,'１×Ｍ'!$B$3:$B$50,),MATCH($C$5,'１×Ｍ'!$B$2:$J$2,)),"")</f>
        <v>袴田</v>
      </c>
      <c r="D101" s="582">
        <v>3</v>
      </c>
      <c r="E101" s="112"/>
      <c r="H101" s="579"/>
      <c r="L101" s="579"/>
      <c r="R101" s="10"/>
    </row>
    <row r="102" spans="1:18" ht="14.15" customHeight="1" x14ac:dyDescent="0.2">
      <c r="B102" s="583"/>
      <c r="C102" s="583"/>
      <c r="D102" s="582"/>
      <c r="E102" s="114"/>
      <c r="F102" s="349"/>
      <c r="H102" s="579"/>
      <c r="L102" s="579"/>
      <c r="R102" s="10"/>
    </row>
    <row r="103" spans="1:18" ht="14.15" customHeight="1" x14ac:dyDescent="0.2">
      <c r="A103" s="10">
        <v>29</v>
      </c>
      <c r="B103" s="583" t="str">
        <f>IF(INDEX('１×Ｍ'!$B$2:$J$50,MATCH(A103,'１×Ｍ'!$B$3:$B$50,),MATCH($B$5,'１×Ｍ'!$B$2:$J$2,))&lt;&gt;"",INDEX('１×Ｍ'!$B$3:$J$50,MATCH(A103,'１×Ｍ'!$B$3:$B$50,),MATCH($B$5,'１×Ｍ'!$B$2:$J$2,)),"")</f>
        <v>沼津東高校A</v>
      </c>
      <c r="C103" s="583" t="str">
        <f>IF(INDEX('１×Ｍ'!$B$2:$J$50,MATCH(A103,'１×Ｍ'!$B$3:$B$50,),MATCH($C$5,'１×Ｍ'!$B$2:$J$2,))&lt;&gt;"",INDEX('１×Ｍ'!$B$3:$J$50,MATCH(A103,'１×Ｍ'!$B$3:$B$50,),MATCH($C$5,'１×Ｍ'!$B$2:$J$2,)),"")</f>
        <v>小山</v>
      </c>
      <c r="D103" s="582">
        <v>4</v>
      </c>
      <c r="F103" s="350"/>
      <c r="H103" s="579"/>
      <c r="L103" s="579"/>
      <c r="R103" s="10"/>
    </row>
    <row r="104" spans="1:18" ht="14.15" customHeight="1" x14ac:dyDescent="0.2">
      <c r="B104" s="583"/>
      <c r="C104" s="583"/>
      <c r="D104" s="582"/>
      <c r="E104" s="212"/>
      <c r="H104" s="579"/>
      <c r="L104" s="579"/>
      <c r="R104" s="10"/>
    </row>
    <row r="105" spans="1:18" ht="14.15" customHeight="1" x14ac:dyDescent="0.2">
      <c r="A105" s="10">
        <v>24</v>
      </c>
      <c r="B105" s="583" t="str">
        <f>IF(INDEX('１×Ｍ'!$B$2:$J$50,MATCH(A105,'１×Ｍ'!$B$3:$B$50,),MATCH($B$5,'１×Ｍ'!$B$2:$J$2,))&lt;&gt;"",INDEX('１×Ｍ'!$B$3:$J$50,MATCH(A105,'１×Ｍ'!$B$3:$B$50,),MATCH($B$5,'１×Ｍ'!$B$2:$J$2,)),"")</f>
        <v>天竜高校C</v>
      </c>
      <c r="C105" s="583" t="str">
        <f>IF(INDEX('１×Ｍ'!$B$2:$J$50,MATCH(A105,'１×Ｍ'!$B$3:$B$50,),MATCH($C$5,'１×Ｍ'!$B$2:$J$2,))&lt;&gt;"",INDEX('１×Ｍ'!$B$3:$J$50,MATCH(A105,'１×Ｍ'!$B$3:$B$50,),MATCH($C$5,'１×Ｍ'!$B$2:$J$2,)),"")</f>
        <v>岡野</v>
      </c>
      <c r="D105" s="582">
        <v>5</v>
      </c>
      <c r="E105" s="112"/>
      <c r="H105" s="579"/>
      <c r="L105" s="579"/>
      <c r="R105" s="10"/>
    </row>
    <row r="106" spans="1:18" ht="14.15" customHeight="1" x14ac:dyDescent="0.2">
      <c r="B106" s="583"/>
      <c r="C106" s="583"/>
      <c r="D106" s="582"/>
      <c r="E106" s="212"/>
      <c r="H106" s="579"/>
      <c r="L106" s="579"/>
      <c r="R106" s="10"/>
    </row>
    <row r="107" spans="1:18" ht="14.15" customHeight="1" x14ac:dyDescent="0.2">
      <c r="A107" s="10">
        <v>21</v>
      </c>
      <c r="B107" s="581" t="str">
        <f>IF(INDEX('１×Ｍ'!$B$2:$J$50,MATCH(A107,'１×Ｍ'!$B$3:$B$50,),MATCH($B$5,'１×Ｍ'!$B$2:$J$2,))&lt;&gt;"",INDEX('１×Ｍ'!$B$3:$J$50,MATCH(A107,'１×Ｍ'!$B$3:$B$50,),MATCH($B$5,'１×Ｍ'!$B$2:$J$2,)),"")</f>
        <v>浜松湖南高校H</v>
      </c>
      <c r="C107" s="581" t="str">
        <f>IF(INDEX('１×Ｍ'!$B$2:$J$50,MATCH(A107,'１×Ｍ'!$B$3:$B$50,),MATCH($C$5,'１×Ｍ'!$B$2:$J$2,))&lt;&gt;"",INDEX('１×Ｍ'!$B$3:$J$50,MATCH(A107,'１×Ｍ'!$B$3:$B$50,),MATCH($C$5,'１×Ｍ'!$B$2:$J$2,)),"")</f>
        <v>青島</v>
      </c>
      <c r="D107" s="582">
        <v>6</v>
      </c>
      <c r="E107" s="115"/>
      <c r="H107" s="14"/>
      <c r="L107" s="14"/>
      <c r="R107" s="10"/>
    </row>
    <row r="108" spans="1:18" x14ac:dyDescent="0.2">
      <c r="B108" s="581"/>
      <c r="C108" s="581"/>
      <c r="D108" s="582"/>
      <c r="H108" s="14"/>
      <c r="L108" s="14"/>
      <c r="R108" s="10"/>
    </row>
    <row r="109" spans="1:18" ht="14.25" customHeight="1" x14ac:dyDescent="0.2">
      <c r="B109" s="15"/>
      <c r="C109" s="15"/>
      <c r="D109" s="14"/>
      <c r="H109" s="14"/>
      <c r="L109" s="14"/>
      <c r="R109" s="10"/>
    </row>
    <row r="110" spans="1:18" ht="14.15" hidden="1" customHeight="1" x14ac:dyDescent="0.2">
      <c r="B110" s="15"/>
      <c r="C110" s="15"/>
      <c r="D110" s="14"/>
      <c r="F110" s="11">
        <v>9</v>
      </c>
      <c r="H110" s="14"/>
      <c r="L110" s="14"/>
      <c r="R110" s="10"/>
    </row>
    <row r="111" spans="1:18" ht="14.15" hidden="1" customHeight="1" x14ac:dyDescent="0.2">
      <c r="E111" t="s">
        <v>597</v>
      </c>
      <c r="F111" s="16">
        <v>0.5444444444444444</v>
      </c>
      <c r="I111"/>
      <c r="J111" s="16"/>
      <c r="K111" s="110"/>
      <c r="N111" s="16"/>
      <c r="R111" s="10"/>
    </row>
    <row r="112" spans="1:18" ht="14.15" hidden="1" customHeight="1" x14ac:dyDescent="0.2">
      <c r="B112" s="581" t="e">
        <f>IF(INDEX('１×Ｍ'!$B$2:$J$41,MATCH($A$112,'１×Ｍ'!$B$3:$B$41,),MATCH($B$5,'１×Ｍ'!$B$2:$J$2,))&lt;&gt;"",INDEX('１×Ｍ'!$B$3:$J$41,MATCH($A$112,'１×Ｍ'!$B$3:$B$41,),MATCH($B$5,'１×Ｍ'!$B$2:$J$2,)),"")</f>
        <v>#N/A</v>
      </c>
      <c r="C112" s="581" t="e">
        <f>IF(INDEX('１×Ｍ'!$B$2:$J$41,MATCH($A$112,'１×Ｍ'!$B$3:$B$41,),MATCH($C$5,'１×Ｍ'!$B$2:$J$2,))&lt;&gt;"",INDEX('１×Ｍ'!$B$3:$J$41,MATCH($A$112,'１×Ｍ'!$B$3:$B$41,),MATCH($C$5,'１×Ｍ'!$B$2:$J$2,)),"")</f>
        <v>#N/A</v>
      </c>
      <c r="D112" s="582">
        <v>1</v>
      </c>
      <c r="H112" s="579"/>
      <c r="L112" s="579"/>
      <c r="R112" s="10"/>
    </row>
    <row r="113" spans="2:18" ht="14.15" hidden="1" customHeight="1" x14ac:dyDescent="0.2">
      <c r="B113" s="581"/>
      <c r="C113" s="581"/>
      <c r="D113" s="582"/>
      <c r="E113" s="212"/>
      <c r="H113" s="579"/>
      <c r="L113" s="579"/>
      <c r="R113" s="10"/>
    </row>
    <row r="114" spans="2:18" ht="14.15" hidden="1" customHeight="1" x14ac:dyDescent="0.2">
      <c r="B114" s="583" t="e">
        <f>IF(INDEX('１×Ｍ'!$B$2:$J$41,MATCH($A$114,'１×Ｍ'!$B$3:$B$41,),MATCH($B$5,'１×Ｍ'!$B$2:$J$2,))&lt;&gt;"",INDEX('１×Ｍ'!$B$3:$J$41,MATCH($A$114,'１×Ｍ'!$B$3:$B$41,),MATCH($B$5,'１×Ｍ'!$B$2:$J$2,)),"")</f>
        <v>#N/A</v>
      </c>
      <c r="C114" s="583" t="e">
        <f>IF(INDEX('１×Ｍ'!$B$2:$J$41,MATCH($A$114,'１×Ｍ'!$B$3:$B$41,),MATCH($C$5,'１×Ｍ'!$B$2:$J$2,))&lt;&gt;"",INDEX('１×Ｍ'!$B$3:$J$41,MATCH($A$114,'１×Ｍ'!$B$3:$B$41,),MATCH($C$5,'１×Ｍ'!$B$2:$J$2,)),"")</f>
        <v>#N/A</v>
      </c>
      <c r="D114" s="579">
        <v>2</v>
      </c>
      <c r="E114" s="115"/>
      <c r="H114" s="579"/>
      <c r="L114" s="579"/>
      <c r="R114" s="10"/>
    </row>
    <row r="115" spans="2:18" ht="14.15" hidden="1" customHeight="1" x14ac:dyDescent="0.2">
      <c r="B115" s="583"/>
      <c r="C115" s="583"/>
      <c r="D115" s="579"/>
      <c r="E115" s="111"/>
      <c r="F115" s="348"/>
      <c r="H115" s="579"/>
      <c r="L115" s="579"/>
      <c r="R115" s="10"/>
    </row>
    <row r="116" spans="2:18" ht="14.15" hidden="1" customHeight="1" x14ac:dyDescent="0.2">
      <c r="B116" s="583" t="e">
        <f>IF(INDEX('１×Ｍ'!$B$2:$J$41,MATCH($A$116,'１×Ｍ'!$B$3:$B$41,),MATCH($B$5,'１×Ｍ'!$B$2:$J$2,))&lt;&gt;"",INDEX('１×Ｍ'!$B$3:$J$41,MATCH($A$116,'１×Ｍ'!$B$3:$B$41,),MATCH($B$5,'１×Ｍ'!$B$2:$J$2,)),"")</f>
        <v>#N/A</v>
      </c>
      <c r="C116" s="583" t="e">
        <f>IF(INDEX('１×Ｍ'!$B$2:$J$41,MATCH($A$116,'１×Ｍ'!$B$3:$B$41,),MATCH($C$5,'１×Ｍ'!$B$2:$J$2,))&lt;&gt;"",INDEX('１×Ｍ'!$B$3:$J$41,MATCH($A$116,'１×Ｍ'!$B$3:$B$41,),MATCH($C$5,'１×Ｍ'!$B$2:$J$2,)),"")</f>
        <v>#N/A</v>
      </c>
      <c r="D116" s="579">
        <v>3</v>
      </c>
      <c r="F116" s="348"/>
      <c r="H116" s="579"/>
      <c r="L116" s="579"/>
      <c r="R116" s="10"/>
    </row>
    <row r="117" spans="2:18" ht="14.15" hidden="1" customHeight="1" x14ac:dyDescent="0.2">
      <c r="B117" s="583"/>
      <c r="C117" s="583"/>
      <c r="D117" s="579"/>
      <c r="E117" s="111"/>
      <c r="F117" s="349"/>
      <c r="H117" s="579"/>
      <c r="L117" s="579"/>
      <c r="R117" s="10"/>
    </row>
    <row r="118" spans="2:18" ht="14.15" hidden="1" customHeight="1" x14ac:dyDescent="0.2">
      <c r="B118" s="583" t="e">
        <f>IF(INDEX('１×Ｍ'!$B$2:$J$41,MATCH($A$118,'１×Ｍ'!$B$3:$B$41,),MATCH($B$5,'１×Ｍ'!$B$2:$J$2,))&lt;&gt;"",INDEX('１×Ｍ'!$B$3:$J$41,MATCH($A$118,'１×Ｍ'!$B$3:$B$41,),MATCH($B$5,'１×Ｍ'!$B$2:$J$2,)),"")</f>
        <v>#N/A</v>
      </c>
      <c r="C118" s="583" t="e">
        <f>IF(INDEX('１×Ｍ'!$B$2:$J$41,MATCH($A$118,'１×Ｍ'!$B$3:$B$41,),MATCH($C$5,'１×Ｍ'!$B$2:$J$2,))&lt;&gt;"",INDEX('１×Ｍ'!$B$3:$J$41,MATCH($A$118,'１×Ｍ'!$B$3:$B$41,),MATCH($C$5,'１×Ｍ'!$B$2:$J$2,)),"")</f>
        <v>#N/A</v>
      </c>
      <c r="D118" s="579">
        <v>4</v>
      </c>
      <c r="F118" s="348"/>
      <c r="H118" s="579"/>
      <c r="L118" s="579"/>
      <c r="R118" s="10"/>
    </row>
    <row r="119" spans="2:18" ht="14.15" hidden="1" customHeight="1" x14ac:dyDescent="0.2">
      <c r="B119" s="583"/>
      <c r="C119" s="583"/>
      <c r="D119" s="579"/>
      <c r="E119" s="114"/>
      <c r="F119" s="348"/>
      <c r="H119" s="579"/>
      <c r="L119" s="579"/>
      <c r="R119" s="10"/>
    </row>
    <row r="120" spans="2:18" ht="14.15" hidden="1" customHeight="1" x14ac:dyDescent="0.2">
      <c r="B120" s="583" t="e">
        <f>IF(INDEX('１×Ｍ'!$B$2:$J$41,MATCH($A$120,'１×Ｍ'!$B$3:$B$41,),MATCH($B$5,'１×Ｍ'!$B$2:$J$2,))&lt;&gt;"",INDEX('１×Ｍ'!$B$3:$J$41,MATCH($A$120,'１×Ｍ'!$B$3:$B$41,),MATCH($B$5,'１×Ｍ'!$B$2:$J$2,)),"")</f>
        <v>#N/A</v>
      </c>
      <c r="C120" s="583" t="e">
        <f>IF(INDEX('１×Ｍ'!$B$2:$J$41,MATCH($A$120,'１×Ｍ'!$B$3:$B$41,),MATCH($C$5,'１×Ｍ'!$B$2:$J$2,))&lt;&gt;"",INDEX('１×Ｍ'!$B$3:$J$41,MATCH($A$120,'１×Ｍ'!$B$3:$B$41,),MATCH($C$5,'１×Ｍ'!$B$2:$J$2,)),"")</f>
        <v>#N/A</v>
      </c>
      <c r="D120" s="579">
        <v>5</v>
      </c>
      <c r="E120" s="112"/>
      <c r="F120" s="348"/>
      <c r="H120" s="579"/>
      <c r="L120" s="579"/>
      <c r="R120" s="10"/>
    </row>
    <row r="121" spans="2:18" ht="14.15" hidden="1" customHeight="1" x14ac:dyDescent="0.2">
      <c r="B121" s="583"/>
      <c r="C121" s="583"/>
      <c r="D121" s="579"/>
      <c r="E121" s="114"/>
      <c r="H121" s="579"/>
      <c r="L121" s="579"/>
      <c r="R121" s="10"/>
    </row>
    <row r="122" spans="2:18" ht="14.15" hidden="1" customHeight="1" x14ac:dyDescent="0.2">
      <c r="B122" s="584" t="str">
        <f>IF(INDEX('１×Ｍ'!$B$2:$J$41,MATCH($A$107,'１×Ｍ'!$B$3:$B$41,),MATCH($B$5,'１×Ｍ'!$B$2:$J$2,))&lt;&gt;"",INDEX('１×Ｍ'!$B$3:$J$41,MATCH($A$107,'１×Ｍ'!$B$3:$B$41,),MATCH($B$5,'１×Ｍ'!$B$2:$J$2,)),"")</f>
        <v>浜松湖南高校H</v>
      </c>
      <c r="C122" s="584" t="str">
        <f>IF(INDEX('１×Ｍ'!$B$2:$J$41,MATCH($A$107,'１×Ｍ'!$B$3:$B$41,),MATCH($C$5,'１×Ｍ'!$B$2:$J$2,))&lt;&gt;"",INDEX('１×Ｍ'!$B$3:$J$41,MATCH($A$107,'１×Ｍ'!$B$3:$B$41,),MATCH($C$5,'１×Ｍ'!$B$2:$J$2,)),"")</f>
        <v>青島</v>
      </c>
      <c r="D122" s="585">
        <v>6</v>
      </c>
      <c r="H122" s="14"/>
      <c r="L122" s="14"/>
      <c r="R122" s="10"/>
    </row>
    <row r="123" spans="2:18" hidden="1" x14ac:dyDescent="0.2">
      <c r="B123" s="584"/>
      <c r="C123" s="584"/>
      <c r="D123" s="585"/>
      <c r="H123" s="14"/>
      <c r="L123" s="14"/>
      <c r="R123" s="10"/>
    </row>
    <row r="124" spans="2:18" hidden="1" x14ac:dyDescent="0.2">
      <c r="B124" s="15"/>
      <c r="C124" s="15"/>
      <c r="D124" s="14"/>
      <c r="H124" s="14"/>
      <c r="L124" s="14"/>
      <c r="R124" s="10"/>
    </row>
    <row r="125" spans="2:18" x14ac:dyDescent="0.2">
      <c r="B125" s="6" t="s">
        <v>331</v>
      </c>
      <c r="C125" s="235"/>
      <c r="D125" s="14"/>
      <c r="H125" s="14"/>
      <c r="R125" s="10"/>
    </row>
    <row r="126" spans="2:18" x14ac:dyDescent="0.2">
      <c r="B126" s="3" t="s">
        <v>338</v>
      </c>
      <c r="C126" s="3"/>
      <c r="D126" s="10"/>
      <c r="H126" s="235"/>
      <c r="I126" s="6" t="s">
        <v>1126</v>
      </c>
    </row>
    <row r="127" spans="2:18" x14ac:dyDescent="0.2">
      <c r="H127" s="14"/>
    </row>
    <row r="128" spans="2:18" x14ac:dyDescent="0.2">
      <c r="B128" s="10" t="s">
        <v>335</v>
      </c>
      <c r="E128" s="10" t="s">
        <v>333</v>
      </c>
      <c r="H128" s="10" t="s">
        <v>73</v>
      </c>
      <c r="L128" s="10" t="s">
        <v>334</v>
      </c>
      <c r="P128" s="10" t="s">
        <v>74</v>
      </c>
      <c r="Q128" s="4"/>
    </row>
    <row r="129" spans="1:18" x14ac:dyDescent="0.2">
      <c r="D129" s="11" t="s">
        <v>34</v>
      </c>
      <c r="E129" s="4">
        <v>45073</v>
      </c>
      <c r="F129" s="11">
        <v>8</v>
      </c>
      <c r="I129" s="4">
        <v>45073</v>
      </c>
      <c r="J129" s="11">
        <v>19</v>
      </c>
      <c r="L129" s="4"/>
      <c r="M129" s="4">
        <v>45074</v>
      </c>
      <c r="N129" s="11">
        <v>23</v>
      </c>
      <c r="O129" s="11"/>
      <c r="P129" s="4"/>
      <c r="Q129" s="4">
        <v>45074</v>
      </c>
      <c r="R129" s="11">
        <v>33</v>
      </c>
    </row>
    <row r="130" spans="1:18" x14ac:dyDescent="0.2">
      <c r="E130" s="10" t="s">
        <v>118</v>
      </c>
      <c r="F130" s="16">
        <f>VLOOKUP(F129,競漕日程!$A$4:$D$45,2)</f>
        <v>0.53888888888888897</v>
      </c>
      <c r="I130" s="10" t="s">
        <v>118</v>
      </c>
      <c r="J130" s="16">
        <f>VLOOKUP(J129,競漕日程!$A$4:$D$45,2)</f>
        <v>0.65277777777777801</v>
      </c>
      <c r="K130" s="110"/>
      <c r="M130" s="10" t="s">
        <v>118</v>
      </c>
      <c r="N130" s="16">
        <f>VLOOKUP(N129,競漕日程!$A$4:$D$45,2)</f>
        <v>0.375</v>
      </c>
      <c r="O130" s="11"/>
      <c r="R130" s="16">
        <f>VLOOKUP(R129,競漕日程!$A$4:$D$45,2)</f>
        <v>0.5</v>
      </c>
    </row>
    <row r="131" spans="1:18" x14ac:dyDescent="0.2">
      <c r="A131" s="10">
        <v>8</v>
      </c>
      <c r="B131" s="583" t="str">
        <f>IF(INDEX('１×Ｗ'!$B$2:$J$41,MATCH($A$131,'１×Ｗ'!$B$3:$B$41,),MATCH($B$5,'１×Ｗ'!$B$2:$J$2,))&lt;&gt;"",INDEX('１×Ｗ'!$B$3:$J$41,MATCH($A$131,'１×Ｗ'!$B$3:$B$41,),MATCH($B$5,'１×Ｗ'!$B$2:$J$2,)),"")</f>
        <v>天竜高校D</v>
      </c>
      <c r="C131" s="583" t="str">
        <f>IF(INDEX('１×Ｗ'!$B$2:$J$41,MATCH($A$131,'１×Ｗ'!$B$3:$B$41,),MATCH($C$5,'１×Ｗ'!$B$2:$J$2,))&lt;&gt;"",INDEX('１×Ｗ'!$B$3:$J$41,MATCH($A$131,'１×Ｗ'!$B$3:$B$41,),MATCH($C$5,'１×Ｗ'!$B$2:$J$2,)),"")</f>
        <v>吉田</v>
      </c>
      <c r="D131" s="582">
        <v>1</v>
      </c>
      <c r="H131" s="579">
        <v>1</v>
      </c>
      <c r="L131" s="582">
        <v>1</v>
      </c>
      <c r="O131" s="11"/>
      <c r="P131" s="579">
        <v>1</v>
      </c>
    </row>
    <row r="132" spans="1:18" x14ac:dyDescent="0.2">
      <c r="B132" s="583"/>
      <c r="C132" s="583"/>
      <c r="D132" s="582"/>
      <c r="E132" s="212"/>
      <c r="H132" s="579"/>
      <c r="I132" s="383" t="s">
        <v>1149</v>
      </c>
      <c r="L132" s="582"/>
      <c r="M132" s="383" t="s">
        <v>1135</v>
      </c>
      <c r="O132" s="11"/>
      <c r="P132" s="579"/>
      <c r="Q132" s="144" t="s">
        <v>1142</v>
      </c>
    </row>
    <row r="133" spans="1:18" x14ac:dyDescent="0.2">
      <c r="A133" s="10">
        <v>14</v>
      </c>
      <c r="B133" s="583" t="str">
        <f>IF(INDEX('１×Ｗ'!$B$2:$J$41,MATCH(A133,'１×Ｗ'!$B$3:$B$41,),MATCH($B$5,'１×Ｗ'!$B$2:$J$2,))&lt;&gt;"",INDEX('１×Ｗ'!$B$3:$J$41,MATCH(A133,'１×Ｗ'!$B$3:$B$41,),MATCH($B$5,'１×Ｗ'!$B$2:$J$2,)),"")</f>
        <v>湖西高校A</v>
      </c>
      <c r="C133" s="583" t="str">
        <f>IF(INDEX('１×Ｗ'!$B$2:$J$41,MATCH(A133,'１×Ｗ'!$B$3:$B$41,),MATCH($C$5,'１×Ｗ'!$B$2:$J$2,))&lt;&gt;"",INDEX('１×Ｗ'!$B$3:$J$41,MATCH(A133,'１×Ｗ'!$B$3:$B$41,),MATCH($C$5,'１×Ｗ'!$B$2:$J$2,)),"")</f>
        <v>九里</v>
      </c>
      <c r="D133" s="579">
        <v>2</v>
      </c>
      <c r="E133" s="115"/>
      <c r="H133" s="579">
        <v>2</v>
      </c>
      <c r="I133" s="115"/>
      <c r="J133" s="348"/>
      <c r="L133" s="579">
        <v>2</v>
      </c>
      <c r="M133" s="115"/>
      <c r="O133" s="11"/>
      <c r="P133" s="579">
        <v>2</v>
      </c>
      <c r="Q133" s="112"/>
    </row>
    <row r="134" spans="1:18" x14ac:dyDescent="0.2">
      <c r="B134" s="583"/>
      <c r="C134" s="583"/>
      <c r="D134" s="579"/>
      <c r="E134" s="111"/>
      <c r="F134" s="348"/>
      <c r="H134" s="579"/>
      <c r="I134" s="144" t="s">
        <v>1148</v>
      </c>
      <c r="J134" s="349"/>
      <c r="L134" s="579"/>
      <c r="M134" s="144" t="s">
        <v>1130</v>
      </c>
      <c r="N134" s="348"/>
      <c r="O134" s="11"/>
      <c r="P134" s="579"/>
      <c r="Q134" s="152" t="s">
        <v>1140</v>
      </c>
      <c r="R134" s="348"/>
    </row>
    <row r="135" spans="1:18" x14ac:dyDescent="0.2">
      <c r="A135" s="10">
        <v>12</v>
      </c>
      <c r="B135" s="583" t="str">
        <f>IF(INDEX('１×Ｗ'!$B$2:$J$41,MATCH(A135,'１×Ｗ'!$B$3:$B$41,),MATCH($B$5,'１×Ｗ'!$B$2:$J$2,))&lt;&gt;"",INDEX('１×Ｗ'!$B$3:$J$41,MATCH(A135,'１×Ｗ'!$B$3:$B$41,),MATCH($B$5,'１×Ｗ'!$B$2:$J$2,)),"")</f>
        <v>浜松北高校</v>
      </c>
      <c r="C135" s="583" t="str">
        <f>IF(INDEX('１×Ｗ'!$B$2:$J$41,MATCH(A135,'１×Ｗ'!$B$3:$B$41,),MATCH($C$5,'１×Ｗ'!$B$2:$J$2,))&lt;&gt;"",INDEX('１×Ｗ'!$B$3:$J$41,MATCH(A135,'１×Ｗ'!$B$3:$B$41,),MATCH($C$5,'１×Ｗ'!$B$2:$J$2,)),"")</f>
        <v>安藝</v>
      </c>
      <c r="D135" s="579">
        <v>3</v>
      </c>
      <c r="F135" s="353"/>
      <c r="H135" s="579">
        <v>3</v>
      </c>
      <c r="I135" s="112"/>
      <c r="J135" s="350"/>
      <c r="L135" s="579">
        <v>3</v>
      </c>
      <c r="N135" s="353"/>
      <c r="O135" s="11"/>
      <c r="P135" s="579">
        <v>3</v>
      </c>
      <c r="Q135" s="112"/>
      <c r="R135" s="348"/>
    </row>
    <row r="136" spans="1:18" x14ac:dyDescent="0.2">
      <c r="B136" s="583"/>
      <c r="C136" s="583"/>
      <c r="D136" s="579"/>
      <c r="E136" s="111"/>
      <c r="F136" s="350"/>
      <c r="H136" s="579"/>
      <c r="I136" s="152" t="s">
        <v>1144</v>
      </c>
      <c r="J136" s="348"/>
      <c r="L136" s="579"/>
      <c r="M136" s="144" t="s">
        <v>1125</v>
      </c>
      <c r="N136" s="350"/>
      <c r="O136" s="11"/>
      <c r="P136" s="579"/>
      <c r="Q136" s="144" t="s">
        <v>1138</v>
      </c>
      <c r="R136" s="350"/>
    </row>
    <row r="137" spans="1:18" x14ac:dyDescent="0.2">
      <c r="A137" s="10">
        <v>9</v>
      </c>
      <c r="B137" s="583" t="str">
        <f>IF(INDEX('１×Ｗ'!$B$2:$J$41,MATCH(A137,'１×Ｗ'!$B$3:$B$41,),MATCH($B$5,'１×Ｗ'!$B$2:$J$2,))&lt;&gt;"",INDEX('１×Ｗ'!$B$3:$J$41,MATCH(A137,'１×Ｗ'!$B$3:$B$41,),MATCH($B$5,'１×Ｗ'!$B$2:$J$2,)),"")</f>
        <v>沼津東高校A</v>
      </c>
      <c r="C137" s="583" t="str">
        <f>IF(INDEX('１×Ｗ'!$B$2:$J$41,MATCH(A137,'１×Ｗ'!$B$3:$B$41,),MATCH($C$5,'１×Ｗ'!$B$2:$J$2,))&lt;&gt;"",INDEX('１×Ｗ'!$B$3:$J$41,MATCH(A137,'１×Ｗ'!$B$3:$B$41,),MATCH($C$5,'１×Ｗ'!$B$2:$J$2,)),"")</f>
        <v>秋山</v>
      </c>
      <c r="D137" s="579">
        <v>4</v>
      </c>
      <c r="F137" s="348"/>
      <c r="H137" s="579">
        <v>4</v>
      </c>
      <c r="I137" s="115"/>
      <c r="J137" s="350"/>
      <c r="L137" s="579">
        <v>4</v>
      </c>
      <c r="N137" s="348"/>
      <c r="O137" s="11"/>
      <c r="P137" s="579">
        <v>4</v>
      </c>
      <c r="Q137" s="115"/>
      <c r="R137" s="348"/>
    </row>
    <row r="138" spans="1:18" x14ac:dyDescent="0.2">
      <c r="B138" s="583"/>
      <c r="C138" s="583"/>
      <c r="D138" s="579"/>
      <c r="E138" s="212"/>
      <c r="H138" s="579"/>
      <c r="I138" s="146" t="s">
        <v>1145</v>
      </c>
      <c r="L138" s="579"/>
      <c r="M138" s="383" t="s">
        <v>1129</v>
      </c>
      <c r="N138" s="350"/>
      <c r="O138" s="11"/>
      <c r="P138" s="587"/>
      <c r="Q138" s="152" t="s">
        <v>1139</v>
      </c>
      <c r="R138" s="348"/>
    </row>
    <row r="139" spans="1:18" x14ac:dyDescent="0.2">
      <c r="A139" s="10">
        <v>6</v>
      </c>
      <c r="B139" s="583" t="str">
        <f>IF(INDEX('１×Ｗ'!$B$2:$J$41,MATCH(A139,'１×Ｗ'!$B$3:$B$41,),MATCH($B$5,'１×Ｗ'!$B$2:$J$2,))&lt;&gt;"",INDEX('１×Ｗ'!$B$3:$J$41,MATCH(A139,'１×Ｗ'!$B$3:$B$41,),MATCH($B$5,'１×Ｗ'!$B$2:$J$2,)),"")</f>
        <v>天竜高校B</v>
      </c>
      <c r="C139" s="583" t="str">
        <f>IF(INDEX('１×Ｗ'!$B$2:$J$41,MATCH(A139,'１×Ｗ'!$B$3:$B$41,),MATCH($C$5,'１×Ｗ'!$B$2:$J$2,))&lt;&gt;"",INDEX('１×Ｗ'!$B$3:$J$41,MATCH(A139,'１×Ｗ'!$B$3:$B$41,),MATCH($C$5,'１×Ｗ'!$B$2:$J$2,)),"")</f>
        <v>鈴木</v>
      </c>
      <c r="D139" s="579">
        <v>5</v>
      </c>
      <c r="E139" s="112"/>
      <c r="H139" s="579">
        <v>5</v>
      </c>
      <c r="I139" s="115"/>
      <c r="L139" s="579">
        <v>5</v>
      </c>
      <c r="M139" s="112"/>
      <c r="O139" s="11"/>
      <c r="P139" s="579">
        <v>5</v>
      </c>
      <c r="Q139" s="115"/>
    </row>
    <row r="140" spans="1:18" x14ac:dyDescent="0.2">
      <c r="B140" s="583"/>
      <c r="C140" s="583"/>
      <c r="D140" s="579"/>
      <c r="E140" s="114"/>
      <c r="H140" s="579"/>
      <c r="I140" t="s">
        <v>1150</v>
      </c>
      <c r="L140" s="579"/>
      <c r="M140" s="144" t="s">
        <v>1134</v>
      </c>
      <c r="O140" s="11"/>
      <c r="P140" s="579"/>
      <c r="Q140" s="383" t="s">
        <v>1141</v>
      </c>
    </row>
    <row r="141" spans="1:18" x14ac:dyDescent="0.2">
      <c r="B141" s="583"/>
      <c r="C141" s="583"/>
      <c r="D141" s="579"/>
      <c r="H141" s="579"/>
      <c r="L141" s="579">
        <v>6</v>
      </c>
      <c r="M141" s="115"/>
      <c r="O141" s="11"/>
      <c r="P141" s="579">
        <v>6</v>
      </c>
      <c r="Q141" s="115"/>
    </row>
    <row r="142" spans="1:18" x14ac:dyDescent="0.2">
      <c r="B142" s="583"/>
      <c r="C142" s="583"/>
      <c r="D142" s="579"/>
      <c r="H142" s="579"/>
      <c r="I142"/>
      <c r="L142" s="579"/>
      <c r="M142" t="s">
        <v>1137</v>
      </c>
      <c r="O142" s="11"/>
      <c r="P142" s="579"/>
      <c r="Q142" s="152" t="s">
        <v>1143</v>
      </c>
    </row>
    <row r="143" spans="1:18" x14ac:dyDescent="0.2">
      <c r="B143" s="15"/>
      <c r="C143" s="15"/>
      <c r="D143" s="14"/>
      <c r="O143" s="11"/>
      <c r="P143" s="235"/>
      <c r="Q143" s="235"/>
      <c r="R143" s="235"/>
    </row>
    <row r="144" spans="1:18" x14ac:dyDescent="0.2">
      <c r="B144" s="15"/>
      <c r="C144" s="15"/>
      <c r="D144" s="14"/>
      <c r="F144" s="11">
        <f>F129+1</f>
        <v>9</v>
      </c>
      <c r="H144" s="14"/>
      <c r="J144" s="11">
        <v>20</v>
      </c>
      <c r="L144" s="580"/>
      <c r="M144" s="580"/>
      <c r="N144" s="11">
        <v>24</v>
      </c>
      <c r="O144" s="11"/>
    </row>
    <row r="145" spans="1:18" x14ac:dyDescent="0.2">
      <c r="E145" s="10" t="s">
        <v>119</v>
      </c>
      <c r="F145" s="16">
        <f>VLOOKUP(F144,競漕日程!$A$4:$D$45,2)</f>
        <v>0.54444444444444395</v>
      </c>
      <c r="I145" s="116"/>
      <c r="J145" s="16">
        <f>VLOOKUP(J144,競漕日程!$A$4:$D$45,2)</f>
        <v>0.65833333333333299</v>
      </c>
      <c r="M145" s="116" t="s">
        <v>119</v>
      </c>
      <c r="N145" s="16">
        <f>VLOOKUP(N144,競漕日程!$A$4:$D$45,2)</f>
        <v>0.38055555555555554</v>
      </c>
      <c r="O145" s="11"/>
    </row>
    <row r="146" spans="1:18" x14ac:dyDescent="0.2">
      <c r="A146" s="10">
        <v>10</v>
      </c>
      <c r="B146" s="583" t="str">
        <f>IF(INDEX('１×Ｗ'!$B$2:$J$41,MATCH(A146,'１×Ｗ'!$B$3:$B$41,),MATCH($B$5,'１×Ｗ'!$B$2:$J$2,))&lt;&gt;"",INDEX('１×Ｗ'!$B$3:$J$41,MATCH(A146,'１×Ｗ'!$B$3:$B$41,),MATCH($B$5,'１×Ｗ'!$B$2:$J$2,)),"")</f>
        <v>沼津東高校B</v>
      </c>
      <c r="C146" s="583" t="str">
        <f>IF(INDEX('１×Ｗ'!$B$2:$J$41,MATCH(A146,'１×Ｗ'!$B$3:$B$41,),MATCH($C$5,'１×Ｗ'!$B$2:$J$2,))&lt;&gt;"",INDEX('１×Ｗ'!$B$3:$J$41,MATCH(A146,'１×Ｗ'!$B$3:$B$41,),MATCH($C$5,'１×Ｗ'!$B$2:$J$2,)),"")</f>
        <v>藤井</v>
      </c>
      <c r="D146" s="582">
        <v>1</v>
      </c>
      <c r="H146" s="582"/>
      <c r="K146" s="110"/>
      <c r="L146" s="582">
        <v>1</v>
      </c>
      <c r="O146" s="11"/>
      <c r="R146" s="10"/>
    </row>
    <row r="147" spans="1:18" x14ac:dyDescent="0.2">
      <c r="B147" s="583"/>
      <c r="C147" s="583"/>
      <c r="D147" s="582"/>
      <c r="E147" s="212"/>
      <c r="H147" s="582"/>
      <c r="L147" s="582"/>
      <c r="M147" s="383" t="s">
        <v>1133</v>
      </c>
      <c r="O147" s="11"/>
      <c r="R147" s="10"/>
    </row>
    <row r="148" spans="1:18" x14ac:dyDescent="0.2">
      <c r="A148" s="10">
        <v>13</v>
      </c>
      <c r="B148" s="583" t="str">
        <f>IF(INDEX('１×Ｗ'!$B$2:$J$41,MATCH(A148,'１×Ｗ'!$B$3:$B$41,),MATCH($B$5,'１×Ｗ'!$B$2:$J$2,))&lt;&gt;"",INDEX('１×Ｗ'!$B$3:$J$41,MATCH(A148,'１×Ｗ'!$B$3:$B$41,),MATCH($B$5,'１×Ｗ'!$B$2:$J$2,)),"")</f>
        <v>浜松西高校</v>
      </c>
      <c r="C148" s="583" t="str">
        <f>IF(INDEX('１×Ｗ'!$B$2:$J$41,MATCH(A148,'１×Ｗ'!$B$3:$B$41,),MATCH($C$5,'１×Ｗ'!$B$2:$J$2,))&lt;&gt;"",INDEX('１×Ｗ'!$B$3:$J$41,MATCH(A148,'１×Ｗ'!$B$3:$B$41,),MATCH($C$5,'１×Ｗ'!$B$2:$J$2,)),"")</f>
        <v>宮澤</v>
      </c>
      <c r="D148" s="579">
        <v>2</v>
      </c>
      <c r="E148" s="115"/>
      <c r="H148" s="579">
        <v>2</v>
      </c>
      <c r="I148" s="113"/>
      <c r="L148" s="579">
        <v>2</v>
      </c>
      <c r="M148" s="115"/>
      <c r="O148" s="11"/>
      <c r="R148" s="10"/>
    </row>
    <row r="149" spans="1:18" x14ac:dyDescent="0.2">
      <c r="A149"/>
      <c r="B149" s="583"/>
      <c r="C149" s="583"/>
      <c r="D149" s="579"/>
      <c r="E149" s="111"/>
      <c r="F149" s="348"/>
      <c r="H149" s="579"/>
      <c r="I149" s="146" t="s">
        <v>1151</v>
      </c>
      <c r="L149" s="579"/>
      <c r="M149" s="144" t="s">
        <v>1131</v>
      </c>
      <c r="N149" s="348"/>
      <c r="O149" s="11"/>
      <c r="R149" s="10"/>
    </row>
    <row r="150" spans="1:18" x14ac:dyDescent="0.2">
      <c r="A150" s="10">
        <v>5</v>
      </c>
      <c r="B150" s="583" t="str">
        <f>IF(INDEX('１×Ｗ'!$B$2:$J$41,MATCH(A150,'１×Ｗ'!$B$3:$B$41,),MATCH($B$5,'１×Ｗ'!$B$2:$J$2,))&lt;&gt;"",INDEX('１×Ｗ'!$B$3:$J$41,MATCH(A150,'１×Ｗ'!$B$3:$B$41,),MATCH($B$5,'１×Ｗ'!$B$2:$J$2,)),"")</f>
        <v>天竜高校A</v>
      </c>
      <c r="C150" s="583" t="str">
        <f>IF(INDEX('１×Ｗ'!$B$2:$J$41,MATCH(A150,'１×Ｗ'!$B$3:$B$41,),MATCH($C$5,'１×Ｗ'!$B$2:$J$2,))&lt;&gt;"",INDEX('１×Ｗ'!$B$3:$J$41,MATCH(A150,'１×Ｗ'!$B$3:$B$41,),MATCH($C$5,'１×Ｗ'!$B$2:$J$2,)),"")</f>
        <v>乗松</v>
      </c>
      <c r="D150" s="579">
        <v>3</v>
      </c>
      <c r="F150" s="353"/>
      <c r="H150" s="579">
        <v>3</v>
      </c>
      <c r="J150" s="353"/>
      <c r="L150" s="579">
        <v>3</v>
      </c>
      <c r="N150" s="353"/>
      <c r="O150" s="11"/>
      <c r="R150" s="10"/>
    </row>
    <row r="151" spans="1:18" x14ac:dyDescent="0.2">
      <c r="B151" s="583"/>
      <c r="C151" s="583"/>
      <c r="D151" s="579"/>
      <c r="E151" s="111"/>
      <c r="F151" s="350"/>
      <c r="H151" s="579"/>
      <c r="I151" s="144" t="s">
        <v>1146</v>
      </c>
      <c r="J151" s="350"/>
      <c r="L151" s="579"/>
      <c r="M151" s="144" t="s">
        <v>1127</v>
      </c>
      <c r="N151" s="350"/>
      <c r="O151" s="11"/>
      <c r="R151" s="10"/>
    </row>
    <row r="152" spans="1:18" x14ac:dyDescent="0.2">
      <c r="A152" s="10">
        <v>3</v>
      </c>
      <c r="B152" s="583" t="str">
        <f>IF(INDEX('１×Ｗ'!$B$2:$J$41,MATCH(A152,'１×Ｗ'!$B$3:$B$41,),MATCH($B$5,'１×Ｗ'!$B$2:$J$2,))&lt;&gt;"",INDEX('１×Ｗ'!$B$3:$J$41,MATCH(A152,'１×Ｗ'!$B$3:$B$41,),MATCH($B$5,'１×Ｗ'!$B$2:$J$2,)),"")</f>
        <v>浜松大平台高校A</v>
      </c>
      <c r="C152" s="583" t="str">
        <f>IF(INDEX('１×Ｗ'!$B$2:$J$41,MATCH(A152,'１×Ｗ'!$B$3:$B$41,),MATCH($C$5,'１×Ｗ'!$B$2:$J$2,))&lt;&gt;"",INDEX('１×Ｗ'!$B$3:$J$41,MATCH(A152,'１×Ｗ'!$B$3:$B$41,),MATCH($C$5,'１×Ｗ'!$B$2:$J$2,)),"")</f>
        <v>関</v>
      </c>
      <c r="D152" s="579">
        <v>4</v>
      </c>
      <c r="F152" s="348"/>
      <c r="H152" s="579">
        <v>4</v>
      </c>
      <c r="J152" s="348"/>
      <c r="L152" s="579">
        <v>4</v>
      </c>
      <c r="N152" s="348"/>
      <c r="O152" s="11"/>
      <c r="R152" s="10"/>
    </row>
    <row r="153" spans="1:18" x14ac:dyDescent="0.2">
      <c r="B153" s="583"/>
      <c r="C153" s="583"/>
      <c r="D153" s="579"/>
      <c r="E153" s="212"/>
      <c r="H153" s="579"/>
      <c r="I153" s="383" t="s">
        <v>1147</v>
      </c>
      <c r="J153" s="350"/>
      <c r="L153" s="579"/>
      <c r="M153" s="383" t="s">
        <v>1128</v>
      </c>
      <c r="N153" s="350"/>
      <c r="O153" s="11"/>
      <c r="R153" s="10"/>
    </row>
    <row r="154" spans="1:18" x14ac:dyDescent="0.2">
      <c r="A154" s="10">
        <v>2</v>
      </c>
      <c r="B154" s="583" t="str">
        <f>IF(INDEX('１×Ｗ'!$B$2:$J$41,MATCH(A154,'１×Ｗ'!$B$3:$B$41,),MATCH($B$5,'１×Ｗ'!$B$2:$J$2,))&lt;&gt;"",INDEX('１×Ｗ'!$B$3:$J$41,MATCH(A154,'１×Ｗ'!$B$3:$B$41,),MATCH($B$5,'１×Ｗ'!$B$2:$J$2,)),"")</f>
        <v>新居高校B</v>
      </c>
      <c r="C154" s="583" t="str">
        <f>IF(INDEX('１×Ｗ'!$B$2:$J$41,MATCH(A154,'１×Ｗ'!$B$3:$B$41,),MATCH($C$5,'１×Ｗ'!$B$2:$J$2,))&lt;&gt;"",INDEX('１×Ｗ'!$B$3:$J$41,MATCH(A154,'１×Ｗ'!$B$3:$B$41,),MATCH($C$5,'１×Ｗ'!$B$2:$J$2,)),"")</f>
        <v>疋田</v>
      </c>
      <c r="D154" s="579">
        <v>5</v>
      </c>
      <c r="E154" s="112"/>
      <c r="H154" s="579">
        <v>5</v>
      </c>
      <c r="I154" s="112"/>
      <c r="L154" s="579">
        <v>5</v>
      </c>
      <c r="M154" s="112"/>
      <c r="O154" s="11"/>
      <c r="R154" s="10"/>
    </row>
    <row r="155" spans="1:18" x14ac:dyDescent="0.2">
      <c r="B155" s="583"/>
      <c r="C155" s="583"/>
      <c r="D155" s="579"/>
      <c r="E155" s="114"/>
      <c r="H155" s="579"/>
      <c r="I155" s="152" t="s">
        <v>1152</v>
      </c>
      <c r="L155" s="579"/>
      <c r="M155" s="144" t="s">
        <v>1132</v>
      </c>
      <c r="O155" s="11"/>
      <c r="R155" s="10"/>
    </row>
    <row r="156" spans="1:18" x14ac:dyDescent="0.2">
      <c r="B156" s="583"/>
      <c r="C156" s="583"/>
      <c r="D156" s="579"/>
      <c r="H156" s="579"/>
      <c r="L156" s="579">
        <v>6</v>
      </c>
      <c r="M156" s="115"/>
      <c r="O156" s="11"/>
      <c r="R156" s="10"/>
    </row>
    <row r="157" spans="1:18" x14ac:dyDescent="0.2">
      <c r="B157" s="583"/>
      <c r="C157" s="583"/>
      <c r="D157" s="579"/>
      <c r="H157" s="579"/>
      <c r="I157"/>
      <c r="L157" s="579"/>
      <c r="M157" t="s">
        <v>1136</v>
      </c>
      <c r="O157" s="11"/>
      <c r="R157" s="10"/>
    </row>
    <row r="158" spans="1:18" x14ac:dyDescent="0.2">
      <c r="H158"/>
      <c r="O158" s="11"/>
      <c r="R158" s="10"/>
    </row>
    <row r="159" spans="1:18" x14ac:dyDescent="0.2">
      <c r="F159" s="11">
        <f>F144+1</f>
        <v>10</v>
      </c>
      <c r="H159" s="428"/>
      <c r="L159" s="14"/>
      <c r="O159" s="11"/>
      <c r="R159" s="10"/>
    </row>
    <row r="160" spans="1:18" x14ac:dyDescent="0.2">
      <c r="E160" s="10" t="s">
        <v>120</v>
      </c>
      <c r="F160" s="16">
        <f>VLOOKUP(F159,競漕日程!$A$4:$D$45,2)</f>
        <v>0.55000000000000004</v>
      </c>
      <c r="I160" s="184"/>
      <c r="J160" s="16"/>
      <c r="M160"/>
      <c r="N160" s="16"/>
      <c r="O160" s="11"/>
      <c r="R160" s="10"/>
    </row>
    <row r="161" spans="1:18" ht="13" customHeight="1" x14ac:dyDescent="0.2">
      <c r="A161" s="10">
        <v>7</v>
      </c>
      <c r="B161" s="583" t="str">
        <f>IF(INDEX('１×Ｗ'!$B$2:$J$41,MATCH(A161,'１×Ｗ'!$B$3:$B$41,),MATCH($B$5,'１×Ｗ'!$B$2:$J$2,))&lt;&gt;"",INDEX('１×Ｗ'!$B$3:$J$41,MATCH(A161,'１×Ｗ'!$B$3:$B$41,),MATCH($B$5,'１×Ｗ'!$B$2:$J$2,)),"")</f>
        <v>天竜高校C</v>
      </c>
      <c r="C161" s="583" t="str">
        <f>IF(INDEX('１×Ｗ'!$B$2:$J$41,MATCH(A161,'１×Ｗ'!$B$3:$B$41,),MATCH($C$5,'１×Ｗ'!$B$2:$J$2,))&lt;&gt;"",INDEX('１×Ｗ'!$B$3:$J$41,MATCH(A161,'１×Ｗ'!$B$3:$B$41,),MATCH($C$5,'１×Ｗ'!$B$2:$J$2,)),"")</f>
        <v>伊藤</v>
      </c>
      <c r="D161" s="582">
        <v>1</v>
      </c>
      <c r="H161" s="579"/>
      <c r="L161" s="579"/>
      <c r="O161" s="11"/>
    </row>
    <row r="162" spans="1:18" ht="13" customHeight="1" x14ac:dyDescent="0.2">
      <c r="B162" s="583"/>
      <c r="C162" s="583"/>
      <c r="D162" s="582"/>
      <c r="E162" s="212"/>
      <c r="H162" s="579"/>
      <c r="L162" s="579"/>
      <c r="M162"/>
      <c r="O162" s="11"/>
      <c r="P162" s="4"/>
      <c r="Q162" s="4"/>
    </row>
    <row r="163" spans="1:18" x14ac:dyDescent="0.2">
      <c r="A163" s="10">
        <v>4</v>
      </c>
      <c r="B163" s="583" t="str">
        <f>IF(INDEX('１×Ｗ'!$B$2:$J$41,MATCH(A163,'１×Ｗ'!$B$3:$B$41,),MATCH($B$5,'１×Ｗ'!$B$2:$J$2,))&lt;&gt;"",INDEX('１×Ｗ'!$B$3:$J$41,MATCH(A163,'１×Ｗ'!$B$3:$B$41,),MATCH($B$5,'１×Ｗ'!$B$2:$J$2,)),"")</f>
        <v>浜松大平台高校B</v>
      </c>
      <c r="C163" s="583" t="str">
        <f>IF(INDEX('１×Ｗ'!$B$2:$J$41,MATCH(A163,'１×Ｗ'!$B$3:$B$41,),MATCH($C$5,'１×Ｗ'!$B$2:$J$2,))&lt;&gt;"",INDEX('１×Ｗ'!$B$3:$J$41,MATCH(A163,'１×Ｗ'!$B$3:$B$41,),MATCH($C$5,'１×Ｗ'!$B$2:$J$2,)),"")</f>
        <v>長谷川</v>
      </c>
      <c r="D163" s="579">
        <v>2</v>
      </c>
      <c r="E163" s="115"/>
      <c r="H163" s="579"/>
      <c r="L163" s="579"/>
      <c r="R163" s="16"/>
    </row>
    <row r="164" spans="1:18" x14ac:dyDescent="0.2">
      <c r="B164" s="583"/>
      <c r="C164" s="583"/>
      <c r="D164" s="579"/>
      <c r="E164" s="111"/>
      <c r="F164" s="348"/>
      <c r="H164" s="579"/>
      <c r="L164" s="579"/>
      <c r="M164"/>
      <c r="P164" s="14"/>
    </row>
    <row r="165" spans="1:18" x14ac:dyDescent="0.2">
      <c r="A165" s="10">
        <v>11</v>
      </c>
      <c r="B165" s="583" t="str">
        <f>IF(INDEX('１×Ｗ'!$B$2:$J$41,MATCH(A165,'１×Ｗ'!$B$3:$B$41,),MATCH($B$5,'１×Ｗ'!$B$2:$J$2,))&lt;&gt;"",INDEX('１×Ｗ'!$B$3:$J$41,MATCH(A165,'１×Ｗ'!$B$3:$B$41,),MATCH($B$5,'１×Ｗ'!$B$2:$J$2,)),"")</f>
        <v>沼津東高校C</v>
      </c>
      <c r="C165" s="583" t="str">
        <f>IF(INDEX('１×Ｗ'!$B$2:$J$41,MATCH(A165,'１×Ｗ'!$B$3:$B$41,),MATCH($C$5,'１×Ｗ'!$B$2:$J$2,))&lt;&gt;"",INDEX('１×Ｗ'!$B$3:$J$41,MATCH(A165,'１×Ｗ'!$B$3:$B$41,),MATCH($C$5,'１×Ｗ'!$B$2:$J$2,)),"")</f>
        <v>山本</v>
      </c>
      <c r="D165" s="579">
        <v>3</v>
      </c>
      <c r="F165" s="353"/>
      <c r="H165" s="579"/>
      <c r="L165" s="579"/>
      <c r="P165" s="14"/>
    </row>
    <row r="166" spans="1:18" x14ac:dyDescent="0.2">
      <c r="B166" s="583"/>
      <c r="C166" s="583"/>
      <c r="D166" s="579"/>
      <c r="E166" s="111"/>
      <c r="F166" s="350"/>
      <c r="H166" s="579"/>
      <c r="L166" s="579"/>
      <c r="M166"/>
      <c r="P166" s="14"/>
    </row>
    <row r="167" spans="1:18" x14ac:dyDescent="0.2">
      <c r="A167" s="10">
        <v>1</v>
      </c>
      <c r="B167" s="583" t="str">
        <f>IF(INDEX('１×Ｗ'!$B$2:$J$41,MATCH(A167,'１×Ｗ'!$B$3:$B$41,),MATCH($B$5,'１×Ｗ'!$B$2:$J$2,))&lt;&gt;"",INDEX('１×Ｗ'!$B$3:$J$41,MATCH(A167,'１×Ｗ'!$B$3:$B$41,),MATCH($B$5,'１×Ｗ'!$B$2:$J$2,)),"")</f>
        <v>新居高校A</v>
      </c>
      <c r="C167" s="583" t="str">
        <f>IF(INDEX('１×Ｗ'!$B$2:$J$41,MATCH(A167,'１×Ｗ'!$B$3:$B$41,),MATCH($C$5,'１×Ｗ'!$B$2:$J$2,))&lt;&gt;"",INDEX('１×Ｗ'!$B$3:$J$41,MATCH(A167,'１×Ｗ'!$B$3:$B$41,),MATCH($C$5,'１×Ｗ'!$B$2:$J$2,)),"")</f>
        <v>杉浦</v>
      </c>
      <c r="D167" s="579">
        <v>4</v>
      </c>
      <c r="F167" s="348"/>
      <c r="H167" s="579"/>
      <c r="L167" s="579"/>
      <c r="P167" s="14"/>
    </row>
    <row r="168" spans="1:18" x14ac:dyDescent="0.2">
      <c r="B168" s="583"/>
      <c r="C168" s="583"/>
      <c r="D168" s="579"/>
      <c r="E168" s="212"/>
      <c r="H168" s="579"/>
      <c r="L168" s="579"/>
      <c r="M168"/>
      <c r="P168" s="14"/>
    </row>
    <row r="169" spans="1:18" x14ac:dyDescent="0.2">
      <c r="A169" s="10">
        <v>15</v>
      </c>
      <c r="B169" s="583" t="str">
        <f>IF(INDEX('１×Ｗ'!$B$2:$J$41,MATCH(A169,'１×Ｗ'!$B$3:$B$41,),MATCH($B$5,'１×Ｗ'!$B$2:$J$2,))&lt;&gt;"",INDEX('１×Ｗ'!$B$3:$J$41,MATCH(A169,'１×Ｗ'!$B$3:$B$41,),MATCH($B$5,'１×Ｗ'!$B$2:$J$2,)),"")</f>
        <v>湖西高校B</v>
      </c>
      <c r="C169" s="583" t="str">
        <f>IF(INDEX('１×Ｗ'!$B$2:$J$41,MATCH(A169,'１×Ｗ'!$B$3:$B$41,),MATCH($C$5,'１×Ｗ'!$B$2:$J$2,))&lt;&gt;"",INDEX('１×Ｗ'!$B$3:$J$41,MATCH(A169,'１×Ｗ'!$B$3:$B$41,),MATCH($C$5,'１×Ｗ'!$B$2:$J$2,)),"")</f>
        <v>土方</v>
      </c>
      <c r="D169" s="579">
        <v>5</v>
      </c>
      <c r="E169" s="112"/>
      <c r="H169" s="579"/>
      <c r="L169" s="579"/>
      <c r="P169" s="14"/>
    </row>
    <row r="170" spans="1:18" x14ac:dyDescent="0.2">
      <c r="B170" s="583"/>
      <c r="C170" s="583"/>
      <c r="D170" s="579"/>
      <c r="E170" s="114"/>
      <c r="H170" s="579"/>
      <c r="L170" s="579"/>
      <c r="M170"/>
      <c r="P170" s="14"/>
    </row>
    <row r="171" spans="1:18" x14ac:dyDescent="0.2">
      <c r="B171" s="583"/>
      <c r="C171" s="583"/>
      <c r="D171" s="579"/>
      <c r="H171" s="579"/>
      <c r="L171" s="579"/>
      <c r="P171" s="14"/>
    </row>
    <row r="172" spans="1:18" x14ac:dyDescent="0.2">
      <c r="B172" s="583"/>
      <c r="C172" s="583"/>
      <c r="D172" s="579"/>
      <c r="H172" s="579"/>
      <c r="L172" s="579"/>
      <c r="M172"/>
    </row>
    <row r="173" spans="1:18" x14ac:dyDescent="0.2">
      <c r="B173" s="15"/>
      <c r="C173" s="15"/>
      <c r="D173" s="14"/>
      <c r="J173" s="235"/>
      <c r="L173" s="14"/>
    </row>
    <row r="174" spans="1:18" x14ac:dyDescent="0.2">
      <c r="B174" s="6" t="s">
        <v>331</v>
      </c>
      <c r="C174" s="235"/>
      <c r="D174" s="235"/>
      <c r="E174" s="235"/>
      <c r="F174" s="235"/>
      <c r="G174" s="235"/>
      <c r="H174" s="235"/>
      <c r="I174" s="235"/>
      <c r="K174" s="235"/>
      <c r="L174" s="235"/>
      <c r="M174" s="235"/>
      <c r="N174" s="235"/>
      <c r="O174" s="235"/>
    </row>
    <row r="175" spans="1:18" x14ac:dyDescent="0.2">
      <c r="B175" s="3" t="s">
        <v>341</v>
      </c>
      <c r="C175" s="3"/>
      <c r="D175" s="235"/>
      <c r="E175" s="235"/>
      <c r="H175" s="235"/>
      <c r="I175" s="6" t="s">
        <v>1126</v>
      </c>
    </row>
    <row r="177" spans="1:18" x14ac:dyDescent="0.2">
      <c r="B177" s="10" t="s">
        <v>342</v>
      </c>
      <c r="E177" s="10" t="s">
        <v>333</v>
      </c>
      <c r="H177" s="10" t="s">
        <v>73</v>
      </c>
      <c r="P177" s="10" t="s">
        <v>74</v>
      </c>
    </row>
    <row r="178" spans="1:18" x14ac:dyDescent="0.2">
      <c r="D178" s="11" t="s">
        <v>34</v>
      </c>
      <c r="E178" s="4">
        <v>45073</v>
      </c>
      <c r="F178" s="11">
        <v>12</v>
      </c>
      <c r="I178" s="4">
        <v>45074</v>
      </c>
      <c r="J178" s="11">
        <v>31</v>
      </c>
      <c r="L178" s="4"/>
      <c r="M178" s="4"/>
      <c r="O178" s="11"/>
      <c r="P178" s="4"/>
      <c r="Q178" s="4">
        <v>45074</v>
      </c>
      <c r="R178" s="11">
        <v>36</v>
      </c>
    </row>
    <row r="179" spans="1:18" x14ac:dyDescent="0.2">
      <c r="E179" s="10" t="s">
        <v>118</v>
      </c>
      <c r="F179" s="16">
        <f>VLOOKUP(F178,競漕日程!$A$4:$D$45,2)</f>
        <v>0.56111111111111101</v>
      </c>
      <c r="I179" s="10" t="s">
        <v>118</v>
      </c>
      <c r="J179" s="16">
        <f>VLOOKUP(J178,競漕日程!$A$4:$D$45,2)</f>
        <v>0.41944444444444401</v>
      </c>
      <c r="K179" s="110"/>
      <c r="N179" s="16"/>
      <c r="O179" s="11"/>
      <c r="R179" s="16">
        <f>VLOOKUP(R178,競漕日程!$A$4:$D$45,2)</f>
        <v>0.52083333333333304</v>
      </c>
    </row>
    <row r="180" spans="1:18" x14ac:dyDescent="0.2">
      <c r="A180" s="10">
        <v>9</v>
      </c>
      <c r="B180" s="581" t="str">
        <f>IF(INDEX('２×Ｍ'!$B$3:$K$95,MATCH($A$180,'２×Ｍ'!$B$3:$B$95,),MATCH($B$177,'２×Ｍ'!$B$2:$K$2,))&lt;&gt;"",INDEX('２×Ｍ'!$B$3:$K$95,MATCH($A$180,'２×Ｍ'!$B$3:$B$95,),MATCH($B$177,'２×Ｍ'!$B$2:$K$2,)),"")</f>
        <v>天竜高校B</v>
      </c>
      <c r="C180" s="231"/>
      <c r="D180" s="582">
        <v>1</v>
      </c>
      <c r="H180" s="14"/>
      <c r="L180" s="14"/>
      <c r="O180" s="11"/>
      <c r="P180" s="14">
        <v>1</v>
      </c>
    </row>
    <row r="181" spans="1:18" x14ac:dyDescent="0.2">
      <c r="B181" s="581"/>
      <c r="C181" s="231"/>
      <c r="D181" s="582"/>
      <c r="E181" s="212"/>
      <c r="H181" s="14"/>
      <c r="I181"/>
      <c r="L181" s="14"/>
      <c r="M181"/>
      <c r="O181" s="11"/>
      <c r="P181" s="14"/>
      <c r="Q181" s="144" t="s">
        <v>1132</v>
      </c>
    </row>
    <row r="182" spans="1:18" x14ac:dyDescent="0.2">
      <c r="A182" s="10">
        <v>11</v>
      </c>
      <c r="B182" s="583" t="str">
        <f>IF(INDEX('２×Ｍ'!$B$3:$K$95,MATCH($A$182,'２×Ｍ'!$B$3:$B$95,),MATCH($B$177,'２×Ｍ'!$B$2:$K$2,))&lt;&gt;"",INDEX('２×Ｍ'!$B$3:$K$95,MATCH($A$182,'２×Ｍ'!$B$3:$B$95,),MATCH($B$177,'２×Ｍ'!$B$2:$K$2,)),"")</f>
        <v>沼津東高校</v>
      </c>
      <c r="C182" s="15"/>
      <c r="D182" s="582">
        <v>2</v>
      </c>
      <c r="E182" s="115"/>
      <c r="H182" s="14">
        <v>2</v>
      </c>
      <c r="I182" s="113"/>
      <c r="L182" s="14"/>
      <c r="O182" s="11"/>
      <c r="P182" s="14">
        <v>2</v>
      </c>
      <c r="Q182" s="112"/>
    </row>
    <row r="183" spans="1:18" x14ac:dyDescent="0.2">
      <c r="B183" s="583"/>
      <c r="C183" s="15"/>
      <c r="D183" s="582"/>
      <c r="E183" s="212"/>
      <c r="H183" s="14"/>
      <c r="I183" s="144" t="s">
        <v>1157</v>
      </c>
      <c r="J183" s="348"/>
      <c r="L183" s="14"/>
      <c r="M183"/>
      <c r="O183" s="11"/>
      <c r="P183" s="14"/>
      <c r="Q183" s="152" t="s">
        <v>1128</v>
      </c>
      <c r="R183" s="348"/>
    </row>
    <row r="184" spans="1:18" x14ac:dyDescent="0.2">
      <c r="A184" s="10">
        <v>1</v>
      </c>
      <c r="B184" s="583" t="str">
        <f>IF(INDEX('２×Ｍ'!$B$3:$K$95,MATCH($A$184,'２×Ｍ'!$B$3:$B$95,),MATCH($B$177,'２×Ｍ'!$B$2:$K$2,))&lt;&gt;"",INDEX('２×Ｍ'!$B$3:$K$95,MATCH($A$184,'２×Ｍ'!$B$3:$B$95,),MATCH($B$177,'２×Ｍ'!$B$2:$K$2,)),"")</f>
        <v>新居高校A</v>
      </c>
      <c r="C184" s="15"/>
      <c r="D184" s="582">
        <v>3</v>
      </c>
      <c r="E184" s="112"/>
      <c r="H184" s="14">
        <v>3</v>
      </c>
      <c r="I184" s="112"/>
      <c r="J184" s="348"/>
      <c r="L184" s="14"/>
      <c r="O184" s="11"/>
      <c r="P184" s="14">
        <v>3</v>
      </c>
      <c r="Q184" s="112"/>
      <c r="R184" s="348"/>
    </row>
    <row r="185" spans="1:18" x14ac:dyDescent="0.2">
      <c r="B185" s="583"/>
      <c r="C185" s="15"/>
      <c r="D185" s="582"/>
      <c r="E185" s="114"/>
      <c r="F185" s="349"/>
      <c r="H185" s="14"/>
      <c r="I185" s="152" t="s">
        <v>1153</v>
      </c>
      <c r="J185" s="350"/>
      <c r="L185" s="14"/>
      <c r="M185"/>
      <c r="O185" s="11"/>
      <c r="P185" s="14"/>
      <c r="Q185" s="144" t="s">
        <v>1125</v>
      </c>
      <c r="R185" s="350"/>
    </row>
    <row r="186" spans="1:18" x14ac:dyDescent="0.2">
      <c r="A186" s="10">
        <v>10</v>
      </c>
      <c r="B186" s="583" t="str">
        <f>IF(INDEX('２×Ｍ'!$B$3:$K$95,MATCH($A$186,'２×Ｍ'!$B$3:$B$95,),MATCH($B$177,'２×Ｍ'!$B$2:$K$2,))&lt;&gt;"",INDEX('２×Ｍ'!$B$3:$K$95,MATCH($A$186,'２×Ｍ'!$B$3:$B$95,),MATCH($B$177,'２×Ｍ'!$B$2:$K$2,)),"")</f>
        <v>沼津工業高校</v>
      </c>
      <c r="C186" s="15"/>
      <c r="D186" s="582">
        <v>4</v>
      </c>
      <c r="F186" s="350"/>
      <c r="H186" s="14">
        <v>4</v>
      </c>
      <c r="I186" s="115"/>
      <c r="J186" s="348"/>
      <c r="L186" s="14"/>
      <c r="O186" s="11"/>
      <c r="P186" s="14">
        <v>4</v>
      </c>
      <c r="Q186" s="115"/>
      <c r="R186" s="348"/>
    </row>
    <row r="187" spans="1:18" x14ac:dyDescent="0.2">
      <c r="B187" s="583"/>
      <c r="C187" s="15"/>
      <c r="D187" s="582"/>
      <c r="E187" s="212"/>
      <c r="H187" s="14"/>
      <c r="I187" s="146" t="s">
        <v>1156</v>
      </c>
      <c r="L187" s="14"/>
      <c r="M187"/>
      <c r="O187" s="11"/>
      <c r="P187" s="14"/>
      <c r="Q187" s="144" t="s">
        <v>1127</v>
      </c>
      <c r="R187" s="348"/>
    </row>
    <row r="188" spans="1:18" x14ac:dyDescent="0.2">
      <c r="A188" s="10">
        <v>6</v>
      </c>
      <c r="B188" s="583" t="str">
        <f>IF(INDEX('２×Ｍ'!$B$3:$K$95,MATCH($A$188,'２×Ｍ'!$B$3:$B$95,),MATCH($B$177,'２×Ｍ'!$B$2:$K$2,))&lt;&gt;"",INDEX('２×Ｍ'!$B$3:$K$95,MATCH($A$188,'２×Ｍ'!$B$3:$B$95,),MATCH($B$177,'２×Ｍ'!$B$2:$K$2,)),"")</f>
        <v>浜松湖南高校B</v>
      </c>
      <c r="C188" s="15"/>
      <c r="D188" s="582">
        <v>5</v>
      </c>
      <c r="E188" s="112"/>
      <c r="H188" s="14">
        <v>5</v>
      </c>
      <c r="I188" s="115"/>
      <c r="L188" s="14"/>
      <c r="O188" s="11"/>
      <c r="P188" s="14">
        <v>5</v>
      </c>
      <c r="Q188" s="115"/>
      <c r="R188" s="348"/>
    </row>
    <row r="189" spans="1:18" x14ac:dyDescent="0.2">
      <c r="B189" s="583"/>
      <c r="C189" s="15"/>
      <c r="D189" s="582"/>
      <c r="E189" s="212"/>
      <c r="H189" s="14"/>
      <c r="I189" t="s">
        <v>1160</v>
      </c>
      <c r="L189" s="14"/>
      <c r="M189"/>
      <c r="O189" s="11"/>
      <c r="P189" s="14"/>
      <c r="Q189" s="146" t="s">
        <v>1129</v>
      </c>
      <c r="R189" s="348"/>
    </row>
    <row r="190" spans="1:18" x14ac:dyDescent="0.2">
      <c r="A190" s="10">
        <v>4</v>
      </c>
      <c r="B190" s="583" t="str">
        <f>IF(INDEX('２×Ｍ'!$B$3:$K$95,MATCH($A$190,'２×Ｍ'!$B$3:$B$95,),MATCH($B$177,'２×Ｍ'!$B$2:$K$2,))&lt;&gt;"",INDEX('２×Ｍ'!$B$3:$K$95,MATCH($A$190,'２×Ｍ'!$B$3:$B$95,),MATCH($B$177,'２×Ｍ'!$B$2:$K$2,)),"")</f>
        <v>新居高校D</v>
      </c>
      <c r="C190" s="205"/>
      <c r="D190" s="582">
        <v>6</v>
      </c>
      <c r="E190" s="115"/>
      <c r="H190" s="14"/>
      <c r="L190" s="14"/>
      <c r="O190" s="11"/>
      <c r="P190" s="14">
        <v>6</v>
      </c>
      <c r="Q190" s="115"/>
      <c r="R190" s="348"/>
    </row>
    <row r="191" spans="1:18" x14ac:dyDescent="0.2">
      <c r="B191" s="583"/>
      <c r="C191" s="205"/>
      <c r="D191" s="582"/>
      <c r="H191" s="14"/>
      <c r="I191"/>
      <c r="L191" s="14"/>
      <c r="M191"/>
      <c r="O191" s="11"/>
      <c r="P191" s="14"/>
      <c r="Q191" t="s">
        <v>1134</v>
      </c>
    </row>
    <row r="192" spans="1:18" x14ac:dyDescent="0.2">
      <c r="D192" s="14"/>
      <c r="O192" s="11"/>
    </row>
    <row r="193" spans="1:18" x14ac:dyDescent="0.2">
      <c r="D193" s="14"/>
      <c r="F193" s="11">
        <v>13</v>
      </c>
      <c r="H193" s="14"/>
      <c r="J193" s="11">
        <v>32</v>
      </c>
      <c r="L193" s="14"/>
      <c r="O193" s="11"/>
    </row>
    <row r="194" spans="1:18" x14ac:dyDescent="0.2">
      <c r="E194" s="10" t="s">
        <v>119</v>
      </c>
      <c r="F194" s="16">
        <f>VLOOKUP(F193,競漕日程!$A$4:$D$45,2)</f>
        <v>0.56666666666666599</v>
      </c>
      <c r="I194" s="116"/>
      <c r="J194" s="16">
        <f>VLOOKUP(J193,競漕日程!$A$4:$D$45,2)</f>
        <v>0.42499999999999999</v>
      </c>
      <c r="M194" s="116"/>
      <c r="N194" s="16"/>
      <c r="O194" s="11"/>
    </row>
    <row r="195" spans="1:18" x14ac:dyDescent="0.2">
      <c r="A195" s="10">
        <v>3</v>
      </c>
      <c r="B195" s="581" t="str">
        <f>IF(INDEX('２×Ｍ'!$B$3:$K$95,MATCH($A$195,'２×Ｍ'!$B$3:$B$95,),MATCH($B$177,'２×Ｍ'!$B$2:$K$2,))&lt;&gt;"",INDEX('２×Ｍ'!$B$3:$K$95,MATCH($A$195,'２×Ｍ'!$B$3:$B$95,),MATCH($B$177,'２×Ｍ'!$B$2:$K$2,)),"")</f>
        <v>新居高校C</v>
      </c>
      <c r="C195" s="231"/>
      <c r="D195" s="582">
        <v>1</v>
      </c>
      <c r="H195" s="14"/>
      <c r="K195" s="110"/>
      <c r="L195" s="14"/>
      <c r="O195" s="11"/>
    </row>
    <row r="196" spans="1:18" x14ac:dyDescent="0.2">
      <c r="B196" s="581"/>
      <c r="C196" s="231"/>
      <c r="D196" s="582"/>
      <c r="E196" s="212"/>
      <c r="H196" s="14"/>
      <c r="I196"/>
      <c r="L196" s="14"/>
      <c r="M196"/>
      <c r="O196" s="11"/>
    </row>
    <row r="197" spans="1:18" x14ac:dyDescent="0.2">
      <c r="A197" s="10">
        <v>12</v>
      </c>
      <c r="B197" s="583" t="str">
        <f>IF(INDEX('２×Ｍ'!$B$3:$K$95,MATCH($A$197,'２×Ｍ'!$B$3:$B$95,),MATCH($B$177,'２×Ｍ'!$B$2:$K$2,))&lt;&gt;"",INDEX('２×Ｍ'!$B$3:$K$95,MATCH($A$197,'２×Ｍ'!$B$3:$B$95,),MATCH($B$177,'２×Ｍ'!$B$2:$K$2,)),"")</f>
        <v>浜松西高校</v>
      </c>
      <c r="C197" s="15"/>
      <c r="D197" s="582">
        <v>2</v>
      </c>
      <c r="E197" s="115"/>
      <c r="H197" s="14">
        <v>2</v>
      </c>
      <c r="I197" s="113"/>
      <c r="L197" s="14"/>
      <c r="O197" s="11"/>
    </row>
    <row r="198" spans="1:18" x14ac:dyDescent="0.2">
      <c r="B198" s="583"/>
      <c r="C198" s="15"/>
      <c r="D198" s="582"/>
      <c r="E198" s="212"/>
      <c r="H198" s="14"/>
      <c r="I198" s="144" t="s">
        <v>1158</v>
      </c>
      <c r="J198" s="348"/>
      <c r="L198" s="14"/>
      <c r="M198"/>
      <c r="O198" s="11"/>
    </row>
    <row r="199" spans="1:18" x14ac:dyDescent="0.2">
      <c r="A199" s="10">
        <v>5</v>
      </c>
      <c r="B199" s="583" t="str">
        <f>IF(INDEX('２×Ｍ'!$B$3:$K$95,MATCH($A$199,'２×Ｍ'!$B$3:$B$95,),MATCH($B$177,'２×Ｍ'!$B$2:$K$2,))&lt;&gt;"",INDEX('２×Ｍ'!$B$3:$K$95,MATCH($A$199,'２×Ｍ'!$B$3:$B$95,),MATCH($B$177,'２×Ｍ'!$B$2:$K$2,)),"")</f>
        <v>浜松湖南高校A</v>
      </c>
      <c r="C199" s="15"/>
      <c r="D199" s="582">
        <v>3</v>
      </c>
      <c r="E199" s="112"/>
      <c r="H199" s="14">
        <v>3</v>
      </c>
      <c r="I199" s="112"/>
      <c r="J199" s="348"/>
      <c r="L199" s="14"/>
      <c r="O199" s="11"/>
    </row>
    <row r="200" spans="1:18" x14ac:dyDescent="0.2">
      <c r="B200" s="583"/>
      <c r="C200" s="15"/>
      <c r="D200" s="582"/>
      <c r="E200" s="114"/>
      <c r="F200" s="349"/>
      <c r="H200" s="14"/>
      <c r="I200" s="152" t="s">
        <v>1154</v>
      </c>
      <c r="J200" s="350"/>
      <c r="L200" s="14"/>
      <c r="M200"/>
      <c r="O200" s="11"/>
    </row>
    <row r="201" spans="1:18" x14ac:dyDescent="0.2">
      <c r="A201" s="10">
        <v>8</v>
      </c>
      <c r="B201" s="583" t="str">
        <f>IF(INDEX('２×Ｍ'!$B$3:$K$95,MATCH($A$201,'２×Ｍ'!$B$3:$B$95,),MATCH($B$177,'２×Ｍ'!$B$2:$K$2,))&lt;&gt;"",INDEX('２×Ｍ'!$B$3:$K$95,MATCH($A$201,'２×Ｍ'!$B$3:$B$95,),MATCH($B$177,'２×Ｍ'!$B$2:$K$2,)),"")</f>
        <v>天竜高校A</v>
      </c>
      <c r="C201" s="15"/>
      <c r="D201" s="582">
        <v>4</v>
      </c>
      <c r="F201" s="350"/>
      <c r="H201" s="14">
        <v>4</v>
      </c>
      <c r="I201" s="115"/>
      <c r="J201" s="348"/>
      <c r="L201" s="14"/>
      <c r="O201" s="11"/>
    </row>
    <row r="202" spans="1:18" x14ac:dyDescent="0.2">
      <c r="B202" s="583"/>
      <c r="C202" s="15"/>
      <c r="D202" s="582"/>
      <c r="E202" s="212"/>
      <c r="H202" s="14"/>
      <c r="I202" s="146" t="s">
        <v>1155</v>
      </c>
      <c r="L202" s="14"/>
      <c r="M202"/>
      <c r="O202" s="11"/>
    </row>
    <row r="203" spans="1:18" x14ac:dyDescent="0.2">
      <c r="A203" s="10">
        <v>2</v>
      </c>
      <c r="B203" s="583" t="str">
        <f>IF(INDEX('２×Ｍ'!$B$3:$K$104,MATCH($A$203,'２×Ｍ'!$B$3:$B$104,),MATCH($B$177,'２×Ｍ'!$B$2:$K$2,))&lt;&gt;"",INDEX('２×Ｍ'!$B$3:$K$104,MATCH($A$203,'２×Ｍ'!$B$3:$B$104,),MATCH($B$177,'２×Ｍ'!$B$2:$K$2,)),"")</f>
        <v>新居高校B</v>
      </c>
      <c r="C203" s="15"/>
      <c r="D203" s="582">
        <v>5</v>
      </c>
      <c r="E203" s="112"/>
      <c r="H203" s="14">
        <v>5</v>
      </c>
      <c r="I203" s="115"/>
      <c r="L203" s="14"/>
      <c r="O203" s="11"/>
    </row>
    <row r="204" spans="1:18" x14ac:dyDescent="0.2">
      <c r="B204" s="583"/>
      <c r="C204" s="15"/>
      <c r="D204" s="582"/>
      <c r="E204" s="212"/>
      <c r="H204" s="14"/>
      <c r="I204" t="s">
        <v>1202</v>
      </c>
      <c r="L204" s="14"/>
      <c r="M204"/>
      <c r="O204" s="11"/>
    </row>
    <row r="205" spans="1:18" x14ac:dyDescent="0.2">
      <c r="A205" s="10">
        <v>7</v>
      </c>
      <c r="B205" s="583" t="str">
        <f>IF(INDEX('２×Ｍ'!$B$3:$K$95,MATCH($A$205,'２×Ｍ'!$B$3:$B$95,),MATCH($B$177,'２×Ｍ'!$B$2:$K$2,))&lt;&gt;"",INDEX('２×Ｍ'!$B$3:$K$95,MATCH($A$205,'２×Ｍ'!$B$3:$B$95,),MATCH($B$177,'２×Ｍ'!$B$2:$K$2,)),"")</f>
        <v>浜松湖南高校C</v>
      </c>
      <c r="C205" s="231"/>
      <c r="D205" s="582">
        <v>6</v>
      </c>
      <c r="E205" s="115"/>
      <c r="H205" s="14"/>
      <c r="L205" s="14"/>
      <c r="O205" s="11"/>
      <c r="P205" s="235"/>
      <c r="Q205" s="235"/>
      <c r="R205" s="235"/>
    </row>
    <row r="206" spans="1:18" x14ac:dyDescent="0.2">
      <c r="B206" s="583"/>
      <c r="C206" s="231"/>
      <c r="D206" s="582"/>
      <c r="H206" s="14"/>
      <c r="I206"/>
      <c r="L206" s="14"/>
      <c r="M206"/>
      <c r="O206" s="11"/>
      <c r="P206" s="235"/>
      <c r="Q206" s="235"/>
      <c r="R206" s="235"/>
    </row>
    <row r="207" spans="1:18" x14ac:dyDescent="0.2">
      <c r="H207" s="14"/>
      <c r="L207" s="14"/>
      <c r="O207" s="11"/>
      <c r="P207" s="235"/>
      <c r="Q207" s="235"/>
      <c r="R207" s="235"/>
    </row>
    <row r="208" spans="1:18" ht="13" hidden="1" customHeight="1" x14ac:dyDescent="0.2">
      <c r="E208" s="10" t="s">
        <v>120</v>
      </c>
      <c r="F208" s="16" t="e">
        <f>VLOOKUP(F207,競漕日程!$A$4:$D$45,2)</f>
        <v>#N/A</v>
      </c>
      <c r="I208" s="184"/>
      <c r="J208" s="16"/>
      <c r="M208"/>
      <c r="N208" s="16"/>
      <c r="O208" s="11"/>
      <c r="P208" s="235"/>
      <c r="Q208" s="235"/>
      <c r="R208" s="235"/>
    </row>
    <row r="209" spans="1:18" ht="13" hidden="1" customHeight="1" x14ac:dyDescent="0.2">
      <c r="D209" s="232">
        <v>1</v>
      </c>
      <c r="H209" s="14"/>
      <c r="L209" s="14"/>
      <c r="O209" s="11"/>
      <c r="P209" s="235"/>
      <c r="Q209" s="235"/>
      <c r="R209" s="235"/>
    </row>
    <row r="210" spans="1:18" ht="13" hidden="1" customHeight="1" x14ac:dyDescent="0.2">
      <c r="A210" s="10">
        <v>8</v>
      </c>
      <c r="B210" s="581" t="str">
        <f>IF(INDEX('２×Ｍ'!$B$3:$K$104,MATCH($A$210,'２×Ｍ'!$B$3:$B$104,),MATCH($B$177,'２×Ｍ'!$B$2:$K$2,))&lt;&gt;"",INDEX('２×Ｍ'!$B$3:$K$104,MATCH($A$210,'２×Ｍ'!$B$3:$B$104,),MATCH($B$177,'２×Ｍ'!$B$2:$K$2,)),"")</f>
        <v>天竜高校A</v>
      </c>
      <c r="C210" s="15"/>
      <c r="D210" s="232"/>
      <c r="E210" s="212"/>
      <c r="H210" s="14"/>
      <c r="L210" s="14"/>
      <c r="M210"/>
      <c r="O210" s="11"/>
      <c r="P210" s="235"/>
      <c r="Q210" s="235"/>
      <c r="R210" s="235"/>
    </row>
    <row r="211" spans="1:18" ht="13" hidden="1" customHeight="1" x14ac:dyDescent="0.2">
      <c r="B211" s="581"/>
      <c r="C211" s="15"/>
      <c r="D211" s="14">
        <v>2</v>
      </c>
      <c r="E211" s="115"/>
      <c r="H211" s="14"/>
      <c r="L211" s="14"/>
      <c r="P211" s="235"/>
      <c r="Q211" s="235"/>
      <c r="R211" s="235"/>
    </row>
    <row r="212" spans="1:18" ht="13" hidden="1" customHeight="1" x14ac:dyDescent="0.2">
      <c r="A212" s="10">
        <v>10</v>
      </c>
      <c r="B212" s="583" t="str">
        <f>IF(INDEX('２×Ｍ'!$B$3:$K$104,MATCH($A$212,'２×Ｍ'!$B$3:$B$104,),MATCH($B$177,'２×Ｍ'!$B$2:$K$2,))&lt;&gt;"",INDEX('２×Ｍ'!$B$3:$K$104,MATCH($A$212,'２×Ｍ'!$B$3:$B$104,),MATCH($B$177,'２×Ｍ'!$B$2:$K$2,)),"")</f>
        <v>沼津工業高校</v>
      </c>
      <c r="C212" s="15"/>
      <c r="D212" s="14"/>
      <c r="E212" s="111"/>
      <c r="F212" s="348"/>
      <c r="H212" s="14"/>
      <c r="L212" s="14"/>
      <c r="M212"/>
      <c r="P212" s="235"/>
      <c r="Q212" s="235"/>
      <c r="R212" s="235"/>
    </row>
    <row r="213" spans="1:18" ht="13" hidden="1" customHeight="1" x14ac:dyDescent="0.2">
      <c r="B213" s="583"/>
      <c r="C213" s="15"/>
      <c r="D213" s="14">
        <v>3</v>
      </c>
      <c r="F213" s="348"/>
      <c r="H213" s="14"/>
      <c r="L213" s="14"/>
      <c r="P213" s="235"/>
      <c r="Q213" s="235"/>
      <c r="R213" s="235"/>
    </row>
    <row r="214" spans="1:18" ht="13" hidden="1" customHeight="1" x14ac:dyDescent="0.2">
      <c r="A214" s="10">
        <v>1</v>
      </c>
      <c r="B214" s="583" t="str">
        <f>IF(INDEX('２×Ｍ'!$B$3:$K$104,MATCH($A$214,'２×Ｍ'!$B$3:$B$104,),MATCH($B$177,'２×Ｍ'!$B$2:$K$2,))&lt;&gt;"",INDEX('２×Ｍ'!$B$3:$K$104,MATCH($A$214,'２×Ｍ'!$B$3:$B$104,),MATCH($B$177,'２×Ｍ'!$B$2:$K$2,)),"")</f>
        <v>新居高校A</v>
      </c>
      <c r="C214" s="15"/>
      <c r="D214" s="14"/>
      <c r="E214" s="111"/>
      <c r="F214" s="353"/>
      <c r="H214" s="14"/>
      <c r="L214" s="14"/>
      <c r="M214"/>
      <c r="P214" s="235"/>
      <c r="Q214" s="235"/>
      <c r="R214" s="235"/>
    </row>
    <row r="215" spans="1:18" ht="13" hidden="1" customHeight="1" x14ac:dyDescent="0.2">
      <c r="B215" s="583"/>
      <c r="C215" s="15"/>
      <c r="D215" s="14">
        <v>4</v>
      </c>
      <c r="F215" s="350"/>
      <c r="H215" s="14"/>
      <c r="L215" s="14"/>
      <c r="P215" s="235"/>
      <c r="Q215" s="235"/>
      <c r="R215" s="235"/>
    </row>
    <row r="216" spans="1:18" ht="13" hidden="1" customHeight="1" x14ac:dyDescent="0.2">
      <c r="A216" s="10">
        <v>5</v>
      </c>
      <c r="B216" s="583" t="str">
        <f>IF(INDEX('２×Ｍ'!$B$3:$K$104,MATCH($A$216,'２×Ｍ'!$B$3:$B$104,),MATCH($B$177,'２×Ｍ'!$B$2:$K$2,))&lt;&gt;"",INDEX('２×Ｍ'!$B$3:$K$104,MATCH($A$216,'２×Ｍ'!$B$3:$B$104,),MATCH($B$177,'２×Ｍ'!$B$2:$K$2,)),"")</f>
        <v>浜松湖南高校A</v>
      </c>
      <c r="C216" s="15"/>
      <c r="D216" s="14"/>
      <c r="E216" s="114"/>
      <c r="F216" s="348"/>
      <c r="H216" s="14"/>
      <c r="L216" s="14"/>
      <c r="M216"/>
      <c r="P216" s="235"/>
      <c r="Q216" s="235"/>
      <c r="R216" s="235"/>
    </row>
    <row r="217" spans="1:18" ht="13" hidden="1" customHeight="1" x14ac:dyDescent="0.2">
      <c r="B217" s="583"/>
      <c r="C217" s="15"/>
      <c r="D217" s="14">
        <v>5</v>
      </c>
      <c r="E217" s="112"/>
      <c r="H217" s="14"/>
      <c r="L217" s="14"/>
      <c r="P217" s="235"/>
      <c r="Q217" s="235"/>
      <c r="R217" s="235"/>
    </row>
    <row r="218" spans="1:18" ht="13" hidden="1" customHeight="1" x14ac:dyDescent="0.2">
      <c r="A218" s="10">
        <v>13</v>
      </c>
      <c r="B218" s="583" t="str">
        <f>IF(INDEX('２×Ｍ'!$B$3:$K$104,MATCH($A$218,'２×Ｍ'!$B$3:$B$104,),MATCH($B$177,'２×Ｍ'!$B$2:$K$2,))&lt;&gt;"",INDEX('２×Ｍ'!$B$3:$K$104,MATCH($A$218,'２×Ｍ'!$B$3:$B$104,),MATCH($B$177,'２×Ｍ'!$B$2:$K$2,)),"")</f>
        <v/>
      </c>
      <c r="C218" s="15"/>
      <c r="D218" s="14"/>
      <c r="E218" s="111"/>
      <c r="H218" s="14"/>
      <c r="L218" s="14"/>
      <c r="M218"/>
      <c r="P218" s="235"/>
      <c r="Q218" s="235"/>
      <c r="R218" s="235"/>
    </row>
    <row r="219" spans="1:18" ht="13" hidden="1" customHeight="1" x14ac:dyDescent="0.2">
      <c r="B219" s="583"/>
      <c r="C219" s="15"/>
      <c r="D219" s="14">
        <v>6</v>
      </c>
      <c r="E219" s="115"/>
      <c r="H219" s="14"/>
      <c r="L219" s="14"/>
      <c r="P219" s="235"/>
      <c r="Q219" s="235"/>
      <c r="R219" s="235"/>
    </row>
    <row r="220" spans="1:18" ht="13" hidden="1" customHeight="1" x14ac:dyDescent="0.2">
      <c r="A220" s="10">
        <v>16</v>
      </c>
      <c r="B220" s="581" t="str">
        <f>IF(INDEX('２×Ｍ'!$B$3:$K$104,MATCH($A$220,'２×Ｍ'!$B$3:$B$104,),MATCH($B$177,'２×Ｍ'!$B$2:$K$2,))&lt;&gt;"",INDEX('２×Ｍ'!$B$3:$K$104,MATCH($A$220,'２×Ｍ'!$B$3:$B$104,),MATCH($B$177,'２×Ｍ'!$B$2:$K$2,)),"")</f>
        <v/>
      </c>
      <c r="C220" s="382"/>
      <c r="D220" s="14"/>
      <c r="H220" s="14"/>
      <c r="L220" s="14"/>
      <c r="M220"/>
      <c r="P220" s="235"/>
      <c r="Q220" s="235"/>
      <c r="R220" s="235"/>
    </row>
    <row r="221" spans="1:18" ht="13" hidden="1" customHeight="1" x14ac:dyDescent="0.2">
      <c r="B221" s="581"/>
      <c r="C221" s="382"/>
      <c r="P221" s="235"/>
      <c r="Q221" s="235"/>
      <c r="R221" s="235"/>
    </row>
    <row r="222" spans="1:18" ht="13" hidden="1" customHeight="1" x14ac:dyDescent="0.2">
      <c r="F222" s="11">
        <v>13</v>
      </c>
      <c r="H222" s="14"/>
      <c r="L222" s="14"/>
      <c r="N222" s="16"/>
      <c r="P222" s="235"/>
      <c r="Q222" s="235"/>
      <c r="R222" s="235"/>
    </row>
    <row r="223" spans="1:18" ht="13" hidden="1" customHeight="1" x14ac:dyDescent="0.2">
      <c r="E223" s="10" t="s">
        <v>121</v>
      </c>
      <c r="F223" s="16">
        <v>0.56666666666666665</v>
      </c>
      <c r="I223" s="116"/>
      <c r="J223" s="16"/>
      <c r="K223" s="110"/>
      <c r="P223" s="235"/>
      <c r="Q223" s="235"/>
      <c r="R223" s="235"/>
    </row>
    <row r="224" spans="1:18" ht="13" hidden="1" customHeight="1" x14ac:dyDescent="0.2">
      <c r="D224" s="232">
        <v>1</v>
      </c>
      <c r="H224" s="14"/>
      <c r="L224" s="14"/>
      <c r="P224" s="235"/>
      <c r="Q224" s="235"/>
      <c r="R224" s="235"/>
    </row>
    <row r="225" spans="2:18" ht="13" hidden="1" customHeight="1" x14ac:dyDescent="0.2">
      <c r="B225" s="581" t="e">
        <f>IF(INDEX('２×Ｍ'!$B$3:$K$104,MATCH($A$225,'２×Ｍ'!$B$3:$B$104,),MATCH($B$177,'２×Ｍ'!$B$2:$K$2,))&lt;&gt;"",INDEX('２×Ｍ'!$B$3:$K$104,MATCH($A$225,'２×Ｍ'!$B$3:$B$104,),MATCH($B$177,'２×Ｍ'!$B$2:$K$2,)),"")</f>
        <v>#N/A</v>
      </c>
      <c r="C225" s="15"/>
      <c r="D225" s="232"/>
      <c r="E225" s="212"/>
      <c r="H225" s="14"/>
      <c r="L225" s="14"/>
      <c r="P225" s="235"/>
      <c r="Q225" s="235"/>
      <c r="R225" s="235"/>
    </row>
    <row r="226" spans="2:18" ht="13" hidden="1" customHeight="1" x14ac:dyDescent="0.2">
      <c r="B226" s="581"/>
      <c r="C226" s="15"/>
      <c r="D226" s="14">
        <v>2</v>
      </c>
      <c r="E226" s="115"/>
      <c r="H226" s="14"/>
      <c r="L226" s="14"/>
      <c r="P226" s="235"/>
      <c r="Q226" s="235"/>
      <c r="R226" s="235"/>
    </row>
    <row r="227" spans="2:18" ht="13" hidden="1" customHeight="1" x14ac:dyDescent="0.2">
      <c r="B227" s="583" t="e">
        <f>IF(INDEX('２×Ｍ'!$B$3:$K$104,MATCH($A$227,'２×Ｍ'!$B$3:$B$104,),MATCH($B$177,'２×Ｍ'!$B$2:$K$2,))&lt;&gt;"",INDEX('２×Ｍ'!$B$3:$K$104,MATCH($A$227,'２×Ｍ'!$B$3:$B$104,),MATCH($B$177,'２×Ｍ'!$B$2:$K$2,)),"")</f>
        <v>#N/A</v>
      </c>
      <c r="C227" s="15"/>
      <c r="D227" s="14"/>
      <c r="E227" s="111"/>
      <c r="F227" s="348"/>
      <c r="H227" s="14"/>
      <c r="L227" s="14"/>
      <c r="P227" s="235"/>
      <c r="Q227" s="235"/>
      <c r="R227" s="235"/>
    </row>
    <row r="228" spans="2:18" ht="13" hidden="1" customHeight="1" x14ac:dyDescent="0.2">
      <c r="B228" s="583"/>
      <c r="C228" s="15"/>
      <c r="D228" s="14">
        <v>3</v>
      </c>
      <c r="F228" s="349"/>
      <c r="H228" s="14"/>
      <c r="L228" s="14"/>
      <c r="P228" s="235"/>
      <c r="Q228" s="235"/>
      <c r="R228" s="235"/>
    </row>
    <row r="229" spans="2:18" ht="13" hidden="1" customHeight="1" x14ac:dyDescent="0.2">
      <c r="B229" s="583" t="e">
        <f>IF(INDEX('２×Ｍ'!$B$3:$K$104,MATCH($A$229,'２×Ｍ'!$B$3:$B$104,),MATCH($B$177,'２×Ｍ'!$B$2:$K$2,))&lt;&gt;"",INDEX('２×Ｍ'!$B$3:$K$104,MATCH($A$229,'２×Ｍ'!$B$3:$B$104,),MATCH($B$177,'２×Ｍ'!$B$2:$K$2,)),"")</f>
        <v>#N/A</v>
      </c>
      <c r="C229" s="15"/>
      <c r="D229" s="14"/>
      <c r="E229" s="111"/>
      <c r="F229" s="348"/>
      <c r="H229" s="14"/>
      <c r="L229" s="14"/>
      <c r="P229" s="235"/>
      <c r="Q229" s="235"/>
      <c r="R229" s="235"/>
    </row>
    <row r="230" spans="2:18" ht="13" hidden="1" customHeight="1" x14ac:dyDescent="0.2">
      <c r="B230" s="583"/>
      <c r="C230" s="15"/>
      <c r="D230" s="14">
        <v>4</v>
      </c>
      <c r="F230" s="353"/>
      <c r="H230" s="14"/>
      <c r="L230" s="14"/>
      <c r="P230" s="235"/>
      <c r="Q230" s="235"/>
      <c r="R230" s="235"/>
    </row>
    <row r="231" spans="2:18" ht="13" hidden="1" customHeight="1" x14ac:dyDescent="0.2">
      <c r="B231" s="583" t="e">
        <f>IF(INDEX('２×Ｍ'!$B$3:$K$104,MATCH($A$231,'２×Ｍ'!$B$3:$B$104,),MATCH($B$177,'２×Ｍ'!$B$2:$K$2,))&lt;&gt;"",INDEX('２×Ｍ'!$B$3:$K$104,MATCH($A$231,'２×Ｍ'!$B$3:$B$104,),MATCH($B$177,'２×Ｍ'!$B$2:$K$2,)),"")</f>
        <v>#N/A</v>
      </c>
      <c r="C231" s="15"/>
      <c r="D231" s="14"/>
      <c r="E231" s="114"/>
      <c r="F231" s="350"/>
      <c r="H231" s="14"/>
      <c r="L231" s="14"/>
      <c r="P231" s="235"/>
      <c r="Q231" s="235"/>
      <c r="R231" s="235"/>
    </row>
    <row r="232" spans="2:18" ht="13" hidden="1" customHeight="1" x14ac:dyDescent="0.2">
      <c r="B232" s="583"/>
      <c r="C232" s="15"/>
      <c r="D232" s="14">
        <v>5</v>
      </c>
      <c r="E232" s="112"/>
      <c r="F232" s="348"/>
      <c r="H232" s="14"/>
      <c r="L232" s="14"/>
      <c r="P232" s="235"/>
      <c r="Q232" s="235"/>
      <c r="R232" s="235"/>
    </row>
    <row r="233" spans="2:18" ht="13" hidden="1" customHeight="1" x14ac:dyDescent="0.2">
      <c r="B233" s="583" t="e">
        <f>IF(INDEX('２×Ｍ'!$B$3:$K$104,MATCH($A$233,'２×Ｍ'!$B$3:$B$104,),MATCH($B$177,'２×Ｍ'!$B$2:$K$2,))&lt;&gt;"",INDEX('２×Ｍ'!$B$3:$K$104,MATCH($A$233,'２×Ｍ'!$B$3:$B$104,),MATCH($B$177,'２×Ｍ'!$B$2:$K$2,)),"")</f>
        <v>#N/A</v>
      </c>
      <c r="C233" s="15"/>
      <c r="D233" s="14"/>
      <c r="E233" s="111"/>
      <c r="H233" s="14"/>
      <c r="L233" s="14"/>
      <c r="P233" s="235"/>
      <c r="Q233" s="235"/>
      <c r="R233" s="235"/>
    </row>
    <row r="234" spans="2:18" ht="13" hidden="1" customHeight="1" x14ac:dyDescent="0.2">
      <c r="B234" s="583"/>
      <c r="C234" s="15"/>
      <c r="D234" s="14">
        <v>6</v>
      </c>
      <c r="E234" s="115"/>
      <c r="H234" s="14"/>
      <c r="L234" s="14"/>
      <c r="P234" s="235"/>
      <c r="Q234" s="235"/>
      <c r="R234" s="235"/>
    </row>
    <row r="235" spans="2:18" ht="13" hidden="1" customHeight="1" x14ac:dyDescent="0.2">
      <c r="B235" s="581" t="e">
        <f>IF(INDEX('２×Ｍ'!$B$3:$K$104,MATCH($A$235,'２×Ｍ'!$B$3:$B$104,),MATCH($B$177,'２×Ｍ'!$B$2:$K$2,))&lt;&gt;"",INDEX('２×Ｍ'!$B$3:$K$104,MATCH($A$235,'２×Ｍ'!$B$3:$B$104,),MATCH($B$177,'２×Ｍ'!$B$2:$K$2,)),"")</f>
        <v>#N/A</v>
      </c>
      <c r="C235" s="205"/>
      <c r="D235" s="14"/>
      <c r="H235" s="14"/>
      <c r="L235" s="14"/>
      <c r="P235" s="235"/>
      <c r="Q235" s="235"/>
      <c r="R235" s="235"/>
    </row>
    <row r="236" spans="2:18" ht="13" hidden="1" customHeight="1" x14ac:dyDescent="0.2">
      <c r="B236" s="581"/>
      <c r="C236" s="205"/>
      <c r="D236" s="235"/>
      <c r="E236" s="235"/>
      <c r="G236" s="235"/>
      <c r="K236" s="235"/>
      <c r="L236" s="235"/>
      <c r="M236" s="235"/>
      <c r="N236" s="235"/>
      <c r="O236" s="235"/>
      <c r="P236" s="235"/>
      <c r="Q236" s="235"/>
      <c r="R236" s="235"/>
    </row>
    <row r="237" spans="2:18" x14ac:dyDescent="0.2">
      <c r="B237" s="6"/>
      <c r="C237" s="235"/>
      <c r="D237" s="235"/>
      <c r="E237" s="235"/>
      <c r="G237" s="235"/>
      <c r="K237" s="235"/>
      <c r="L237" s="235"/>
      <c r="M237" s="235"/>
      <c r="N237" s="235"/>
      <c r="O237" s="235"/>
      <c r="P237" s="235"/>
      <c r="Q237" s="235"/>
      <c r="R237" s="235"/>
    </row>
    <row r="238" spans="2:18" hidden="1" x14ac:dyDescent="0.2">
      <c r="F238" s="11">
        <v>15</v>
      </c>
      <c r="G238" s="235"/>
      <c r="H238" s="14"/>
      <c r="K238" s="235"/>
      <c r="L238" s="235"/>
      <c r="M238" s="235"/>
      <c r="N238" s="235"/>
      <c r="O238" s="235"/>
    </row>
    <row r="239" spans="2:18" hidden="1" x14ac:dyDescent="0.2">
      <c r="E239" s="10" t="s">
        <v>122</v>
      </c>
      <c r="F239" s="16">
        <v>0.57777777777777783</v>
      </c>
      <c r="G239" s="235"/>
      <c r="H239" s="14"/>
      <c r="K239" s="235"/>
      <c r="L239" s="235"/>
      <c r="M239" s="235"/>
      <c r="N239" s="235"/>
      <c r="O239" s="235"/>
    </row>
    <row r="240" spans="2:18" hidden="1" x14ac:dyDescent="0.2">
      <c r="B240" s="583" t="e">
        <f>IF(INDEX('２×Ｍ'!$B$3:$K$104,MATCH($A$240,'２×Ｍ'!$B$3:$B$104,),MATCH($B$177,'２×Ｍ'!$B$2:$K$2,))&lt;&gt;"",INDEX('２×Ｍ'!$B$3:$K$104,MATCH($A$240,'２×Ｍ'!$B$3:$B$104,),MATCH($B$177,'２×Ｍ'!$B$2:$K$2,)),"")</f>
        <v>#N/A</v>
      </c>
      <c r="C240" s="15"/>
      <c r="D240" s="579">
        <v>1</v>
      </c>
      <c r="G240" s="235"/>
      <c r="H240" s="14"/>
      <c r="K240" s="235"/>
      <c r="L240" s="235"/>
      <c r="M240" s="235"/>
      <c r="N240" s="235"/>
      <c r="O240" s="235"/>
      <c r="P240" s="10" t="s">
        <v>74</v>
      </c>
    </row>
    <row r="241" spans="2:18" hidden="1" x14ac:dyDescent="0.2">
      <c r="B241" s="583"/>
      <c r="C241" s="15"/>
      <c r="D241" s="579"/>
      <c r="E241" s="111"/>
      <c r="G241" s="235"/>
      <c r="H241" s="14"/>
      <c r="K241" s="235"/>
      <c r="L241" s="235"/>
      <c r="M241" s="235"/>
      <c r="N241" s="235"/>
      <c r="O241" s="235"/>
      <c r="P241" s="4"/>
      <c r="Q241" s="4">
        <v>44338</v>
      </c>
      <c r="R241" s="11">
        <v>35</v>
      </c>
    </row>
    <row r="242" spans="2:18" hidden="1" x14ac:dyDescent="0.2">
      <c r="B242" s="583" t="e">
        <f>IF(INDEX('２×Ｍ'!$B$3:$K$104,MATCH($A$242,'２×Ｍ'!$B$3:$B$104,),MATCH($B$177,'２×Ｍ'!$B$2:$K$2,))&lt;&gt;"",INDEX('２×Ｍ'!$B$3:$K$104,MATCH($A$242,'２×Ｍ'!$B$3:$B$104,),MATCH($B$177,'２×Ｍ'!$B$2:$K$2,)),"")</f>
        <v>#N/A</v>
      </c>
      <c r="C242" s="15"/>
      <c r="D242" s="579">
        <v>2</v>
      </c>
      <c r="E242" s="115"/>
      <c r="G242" s="235"/>
      <c r="H242" s="14"/>
      <c r="K242" s="235"/>
      <c r="L242" s="235"/>
      <c r="M242" s="235"/>
      <c r="N242" s="235"/>
      <c r="O242" s="235"/>
      <c r="R242" s="16">
        <f>VLOOKUP(R241,競漕日程!$A$4:$D$45,2)</f>
        <v>0.51388888888888895</v>
      </c>
    </row>
    <row r="243" spans="2:18" hidden="1" x14ac:dyDescent="0.2">
      <c r="B243" s="583"/>
      <c r="C243" s="15"/>
      <c r="D243" s="579"/>
      <c r="E243" s="111"/>
      <c r="G243" s="235"/>
      <c r="H243" s="14"/>
      <c r="K243" s="235"/>
      <c r="L243" s="235"/>
      <c r="M243" s="235"/>
      <c r="N243" s="235"/>
      <c r="O243" s="235"/>
      <c r="P243" s="579"/>
    </row>
    <row r="244" spans="2:18" hidden="1" x14ac:dyDescent="0.2">
      <c r="B244" s="583" t="e">
        <f>IF(INDEX('２×Ｍ'!$B$3:$K$104,MATCH($A$244,'２×Ｍ'!$B$3:$B$104,),MATCH($B$177,'２×Ｍ'!$B$2:$K$2,))&lt;&gt;"",INDEX('２×Ｍ'!$B$3:$K$104,MATCH($A$244,'２×Ｍ'!$B$3:$B$104,),MATCH($B$177,'２×Ｍ'!$B$2:$K$2,)),"")</f>
        <v>#N/A</v>
      </c>
      <c r="C244" s="15"/>
      <c r="D244" s="579">
        <v>3</v>
      </c>
      <c r="E244" s="112"/>
      <c r="F244" s="348"/>
      <c r="G244" s="235"/>
      <c r="H244" s="14"/>
      <c r="K244" s="235"/>
      <c r="L244" s="235"/>
      <c r="M244" s="235"/>
      <c r="N244" s="235"/>
      <c r="O244" s="235"/>
      <c r="P244" s="579"/>
      <c r="Q244"/>
    </row>
    <row r="245" spans="2:18" hidden="1" x14ac:dyDescent="0.2">
      <c r="B245" s="583"/>
      <c r="C245" s="15"/>
      <c r="D245" s="579"/>
      <c r="E245" s="111"/>
      <c r="F245" s="353"/>
      <c r="G245" s="235"/>
      <c r="H245" s="14"/>
      <c r="K245" s="235"/>
      <c r="L245" s="235"/>
      <c r="M245" s="235"/>
      <c r="N245" s="235"/>
      <c r="O245" s="235"/>
      <c r="P245" s="579"/>
      <c r="Q245" s="113"/>
    </row>
    <row r="246" spans="2:18" hidden="1" x14ac:dyDescent="0.2">
      <c r="B246" s="583" t="e">
        <f>IF(INDEX('２×Ｍ'!$B$3:$K$104,MATCH($A$246,'２×Ｍ'!$B$3:$B$104,),MATCH($B$177,'２×Ｍ'!$B$2:$K$2,))&lt;&gt;"",INDEX('２×Ｍ'!$B$3:$K$104,MATCH($A$246,'２×Ｍ'!$B$3:$B$104,),MATCH($B$177,'２×Ｍ'!$B$2:$K$2,)),"")</f>
        <v>#N/A</v>
      </c>
      <c r="C246" s="15"/>
      <c r="D246" s="579">
        <v>4</v>
      </c>
      <c r="E246" s="112"/>
      <c r="F246" s="350"/>
      <c r="G246" s="235"/>
      <c r="H246" s="14"/>
      <c r="K246" s="235"/>
      <c r="L246" s="235"/>
      <c r="M246" s="235"/>
      <c r="N246" s="235"/>
      <c r="O246" s="235"/>
      <c r="P246" s="579"/>
      <c r="Q246" s="144" t="s">
        <v>1086</v>
      </c>
    </row>
    <row r="247" spans="2:18" hidden="1" x14ac:dyDescent="0.2">
      <c r="B247" s="583"/>
      <c r="C247" s="15"/>
      <c r="D247" s="579"/>
      <c r="E247" s="111"/>
      <c r="F247" s="348"/>
      <c r="G247" s="235"/>
      <c r="H247" s="14"/>
      <c r="K247" s="235"/>
      <c r="L247" s="235"/>
      <c r="M247" s="235"/>
      <c r="N247" s="235"/>
      <c r="O247" s="235"/>
      <c r="P247" s="579"/>
      <c r="Q247" s="112"/>
    </row>
    <row r="248" spans="2:18" hidden="1" x14ac:dyDescent="0.2">
      <c r="B248" s="583" t="e">
        <f>IF(INDEX('２×Ｍ'!$B$3:$K$104,MATCH($A$248,'２×Ｍ'!$B$3:$B$104,),MATCH($B$177,'２×Ｍ'!$B$2:$K$2,))&lt;&gt;"",INDEX('２×Ｍ'!$B$3:$K$104,MATCH($A$248,'２×Ｍ'!$B$3:$B$104,),MATCH($B$177,'２×Ｍ'!$B$2:$K$2,)),"")</f>
        <v>#N/A</v>
      </c>
      <c r="C248" s="15"/>
      <c r="D248" s="579">
        <v>5</v>
      </c>
      <c r="E248" s="115"/>
      <c r="F248" s="348"/>
      <c r="G248" s="235"/>
      <c r="H248" s="14"/>
      <c r="K248" s="235"/>
      <c r="L248" s="235"/>
      <c r="M248" s="235"/>
      <c r="N248" s="235"/>
      <c r="O248" s="235"/>
      <c r="P248" s="579"/>
      <c r="Q248" s="383" t="s">
        <v>1083</v>
      </c>
    </row>
    <row r="249" spans="2:18" hidden="1" x14ac:dyDescent="0.2">
      <c r="B249" s="583"/>
      <c r="C249" s="15"/>
      <c r="D249" s="579"/>
      <c r="E249" s="114"/>
      <c r="F249" s="348"/>
      <c r="G249" s="235"/>
      <c r="H249" s="14"/>
      <c r="K249" s="235"/>
      <c r="L249" s="235"/>
      <c r="M249" s="235"/>
      <c r="N249" s="235"/>
      <c r="O249" s="235"/>
      <c r="P249" s="579"/>
      <c r="Q249" s="115"/>
      <c r="R249" s="353"/>
    </row>
    <row r="250" spans="2:18" hidden="1" x14ac:dyDescent="0.2">
      <c r="B250" s="583" t="e">
        <f>IF(INDEX('２×Ｍ'!$B$3:$K$104,MATCH($A$250,'２×Ｍ'!$B$3:$B$104,),MATCH($B$177,'２×Ｍ'!$B$2:$K$2,))&lt;&gt;"",INDEX('２×Ｍ'!$B$3:$K$104,MATCH($A$250,'２×Ｍ'!$B$3:$B$104,),MATCH($B$177,'２×Ｍ'!$B$2:$K$2,)),"")</f>
        <v>#N/A</v>
      </c>
      <c r="C250" s="15"/>
      <c r="D250" s="579">
        <v>6</v>
      </c>
      <c r="E250" s="115"/>
      <c r="G250" s="235"/>
      <c r="H250" s="14"/>
      <c r="K250" s="235"/>
      <c r="L250" s="235"/>
      <c r="M250" s="235"/>
      <c r="N250" s="235"/>
      <c r="O250" s="235"/>
      <c r="P250" s="579"/>
      <c r="Q250" s="146" t="s">
        <v>1084</v>
      </c>
    </row>
    <row r="251" spans="2:18" hidden="1" x14ac:dyDescent="0.2">
      <c r="B251" s="583"/>
      <c r="C251" s="15"/>
      <c r="D251" s="579"/>
      <c r="G251" s="235"/>
      <c r="H251" s="14"/>
      <c r="K251" s="235"/>
      <c r="L251" s="235"/>
      <c r="M251" s="235"/>
      <c r="N251" s="235"/>
      <c r="O251" s="235"/>
      <c r="P251" s="579"/>
      <c r="Q251" s="115"/>
    </row>
    <row r="252" spans="2:18" hidden="1" x14ac:dyDescent="0.2">
      <c r="B252" s="6"/>
      <c r="C252" s="235"/>
      <c r="D252" s="235"/>
      <c r="E252" s="235"/>
      <c r="G252" s="235"/>
      <c r="K252" s="235"/>
      <c r="L252" s="235"/>
      <c r="M252" s="235"/>
      <c r="N252" s="235"/>
      <c r="O252" s="235"/>
      <c r="P252" s="579"/>
      <c r="Q252" t="s">
        <v>1085</v>
      </c>
    </row>
    <row r="253" spans="2:18" hidden="1" x14ac:dyDescent="0.2">
      <c r="F253" s="11">
        <v>11</v>
      </c>
      <c r="G253" s="235"/>
      <c r="H253" s="14"/>
      <c r="K253" s="235"/>
      <c r="L253" s="235"/>
      <c r="M253" s="235"/>
      <c r="N253" s="235"/>
      <c r="O253" s="235"/>
      <c r="P253" s="579"/>
    </row>
    <row r="254" spans="2:18" hidden="1" x14ac:dyDescent="0.2">
      <c r="E254" s="10" t="s">
        <v>48</v>
      </c>
      <c r="F254" s="16">
        <v>0.55555555555555558</v>
      </c>
      <c r="G254" s="235"/>
      <c r="H254" s="14"/>
      <c r="K254" s="235"/>
      <c r="L254" s="235"/>
      <c r="M254" s="235"/>
      <c r="N254" s="235"/>
      <c r="O254" s="235"/>
      <c r="P254" s="579"/>
      <c r="Q254"/>
    </row>
    <row r="255" spans="2:18" hidden="1" x14ac:dyDescent="0.2">
      <c r="B255" s="583" t="e">
        <f>IF(INDEX('２×Ｍ'!$B$3:$K$104,MATCH($A$255,'２×Ｍ'!$B$3:$B$104,),MATCH($B$177,'２×Ｍ'!$B$2:$K$2,))&lt;&gt;"",INDEX('２×Ｍ'!$B$3:$K$104,MATCH($A$255,'２×Ｍ'!$B$3:$B$104,),MATCH($B$177,'２×Ｍ'!$B$2:$K$2,)),"")</f>
        <v>#N/A</v>
      </c>
      <c r="C255" s="15"/>
      <c r="D255" s="579">
        <v>1</v>
      </c>
      <c r="G255" s="235"/>
      <c r="H255" s="14"/>
      <c r="K255" s="235"/>
      <c r="L255" s="235"/>
      <c r="M255" s="235"/>
      <c r="N255" s="235"/>
      <c r="O255" s="235"/>
      <c r="P255" s="14"/>
    </row>
    <row r="256" spans="2:18" hidden="1" x14ac:dyDescent="0.2">
      <c r="B256" s="583"/>
      <c r="C256" s="15"/>
      <c r="D256" s="579"/>
      <c r="E256" s="111"/>
      <c r="G256" s="235"/>
      <c r="H256" s="14"/>
      <c r="K256" s="235"/>
      <c r="L256" s="235"/>
      <c r="M256" s="235"/>
      <c r="N256" s="235"/>
      <c r="O256" s="235"/>
    </row>
    <row r="257" spans="2:18" hidden="1" x14ac:dyDescent="0.2">
      <c r="B257" s="583" t="e">
        <f>IF(INDEX('２×Ｍ'!$B$3:$K$104,MATCH($A$257,'２×Ｍ'!$B$3:$B$104,),MATCH($B$177,'２×Ｍ'!$B$2:$K$2,))&lt;&gt;"",INDEX('２×Ｍ'!$B$3:$K$104,MATCH($A$257,'２×Ｍ'!$B$3:$B$104,),MATCH($B$177,'２×Ｍ'!$B$2:$K$2,)),"")</f>
        <v>#N/A</v>
      </c>
      <c r="C257" s="15"/>
      <c r="D257" s="579">
        <v>2</v>
      </c>
      <c r="E257" s="115"/>
      <c r="G257" s="235"/>
      <c r="H257" s="14"/>
      <c r="K257" s="235"/>
      <c r="L257" s="235"/>
      <c r="M257" s="235"/>
      <c r="N257" s="235"/>
      <c r="O257" s="235"/>
    </row>
    <row r="258" spans="2:18" hidden="1" x14ac:dyDescent="0.2">
      <c r="B258" s="583"/>
      <c r="C258" s="15"/>
      <c r="D258" s="579"/>
      <c r="E258" s="111"/>
      <c r="F258" s="348"/>
      <c r="G258" s="235"/>
      <c r="H258" s="14"/>
      <c r="K258" s="235"/>
      <c r="L258" s="235"/>
      <c r="M258" s="235"/>
      <c r="N258" s="235"/>
      <c r="O258" s="235"/>
    </row>
    <row r="259" spans="2:18" hidden="1" x14ac:dyDescent="0.2">
      <c r="B259" s="583" t="e">
        <f>IF(INDEX('２×Ｍ'!$B$3:$K$104,MATCH($A$259,'２×Ｍ'!$B$3:$B$104,),MATCH($B$177,'２×Ｍ'!$B$2:$K$2,))&lt;&gt;"",INDEX('２×Ｍ'!$B$3:$K$104,MATCH($A$259,'２×Ｍ'!$B$3:$B$104,),MATCH($B$177,'２×Ｍ'!$B$2:$K$2,)),"")</f>
        <v>#N/A</v>
      </c>
      <c r="C259" s="15"/>
      <c r="D259" s="579">
        <v>3</v>
      </c>
      <c r="E259" s="112"/>
      <c r="F259" s="348"/>
      <c r="G259" s="235"/>
      <c r="H259" s="14"/>
      <c r="K259" s="235"/>
      <c r="L259" s="235"/>
      <c r="M259" s="235"/>
      <c r="N259" s="235"/>
      <c r="O259" s="235"/>
    </row>
    <row r="260" spans="2:18" hidden="1" x14ac:dyDescent="0.2">
      <c r="B260" s="583"/>
      <c r="C260" s="15"/>
      <c r="D260" s="579"/>
      <c r="E260" s="111"/>
      <c r="F260" s="353"/>
      <c r="G260" s="235"/>
      <c r="H260" s="14"/>
      <c r="K260" s="235"/>
      <c r="L260" s="235"/>
      <c r="M260" s="235"/>
      <c r="N260" s="235"/>
      <c r="O260" s="235"/>
    </row>
    <row r="261" spans="2:18" hidden="1" x14ac:dyDescent="0.2">
      <c r="B261" s="583" t="e">
        <f>IF(INDEX('２×Ｍ'!$B$3:$K$104,MATCH($A$261,'２×Ｍ'!$B$3:$B$104,),MATCH($B$177,'２×Ｍ'!$B$2:$K$2,))&lt;&gt;"",INDEX('２×Ｍ'!$B$3:$K$104,MATCH($A$261,'２×Ｍ'!$B$3:$B$104,),MATCH($B$177,'２×Ｍ'!$B$2:$K$2,)),"")</f>
        <v>#N/A</v>
      </c>
      <c r="C261" s="15"/>
      <c r="D261" s="579">
        <v>4</v>
      </c>
      <c r="E261" s="112"/>
      <c r="F261" s="350"/>
      <c r="G261" s="235"/>
      <c r="H261" s="14"/>
      <c r="K261" s="235"/>
      <c r="L261" s="235"/>
      <c r="M261" s="235"/>
      <c r="N261" s="235"/>
      <c r="O261" s="235"/>
    </row>
    <row r="262" spans="2:18" hidden="1" x14ac:dyDescent="0.2">
      <c r="B262" s="583"/>
      <c r="C262" s="15"/>
      <c r="D262" s="579"/>
      <c r="E262" s="111"/>
      <c r="F262" s="348"/>
      <c r="G262" s="235"/>
      <c r="H262" s="14"/>
      <c r="K262" s="235"/>
      <c r="L262" s="235"/>
      <c r="M262" s="235"/>
      <c r="N262" s="235"/>
      <c r="O262" s="235"/>
    </row>
    <row r="263" spans="2:18" hidden="1" x14ac:dyDescent="0.2">
      <c r="B263" s="583" t="e">
        <f>IF(INDEX('２×Ｍ'!$B$3:$K$104,MATCH($A$263,'２×Ｍ'!$B$3:$B$104,),MATCH($B$177,'２×Ｍ'!$B$2:$K$2,))&lt;&gt;"",INDEX('２×Ｍ'!$B$3:$K$104,MATCH($A$263,'２×Ｍ'!$B$3:$B$104,),MATCH($B$177,'２×Ｍ'!$B$2:$K$2,)),"")</f>
        <v>#N/A</v>
      </c>
      <c r="C263" s="15"/>
      <c r="D263" s="579">
        <v>5</v>
      </c>
      <c r="E263" s="115"/>
      <c r="F263" s="348"/>
      <c r="G263" s="235"/>
      <c r="H263" s="14"/>
      <c r="K263" s="235"/>
      <c r="L263" s="235"/>
      <c r="M263" s="235"/>
      <c r="N263" s="235"/>
      <c r="O263" s="235"/>
    </row>
    <row r="264" spans="2:18" hidden="1" x14ac:dyDescent="0.2">
      <c r="B264" s="583"/>
      <c r="C264" s="15"/>
      <c r="D264" s="579"/>
      <c r="E264" s="111"/>
      <c r="G264" s="235"/>
      <c r="H264" s="14"/>
      <c r="K264" s="235"/>
      <c r="L264" s="235"/>
      <c r="M264" s="235"/>
      <c r="N264" s="235"/>
      <c r="O264" s="235"/>
    </row>
    <row r="265" spans="2:18" hidden="1" x14ac:dyDescent="0.2">
      <c r="B265" s="583" t="e">
        <f>IF(INDEX('２×Ｍ'!$B$3:$K$104,MATCH($A$265,'２×Ｍ'!$B$3:$B$104,),MATCH($B$177,'２×Ｍ'!$B$2:$K$2,))&lt;&gt;"",INDEX('２×Ｍ'!$B$3:$K$104,MATCH($A$265,'２×Ｍ'!$B$3:$B$104,),MATCH($B$177,'２×Ｍ'!$B$2:$K$2,)),"")</f>
        <v>#N/A</v>
      </c>
      <c r="C265" s="15"/>
      <c r="D265" s="579">
        <v>6</v>
      </c>
      <c r="E265" s="115"/>
      <c r="G265" s="235"/>
      <c r="H265" s="14"/>
      <c r="K265" s="235"/>
      <c r="L265" s="235"/>
      <c r="M265" s="235"/>
      <c r="N265" s="235"/>
      <c r="O265" s="235"/>
    </row>
    <row r="266" spans="2:18" hidden="1" x14ac:dyDescent="0.2">
      <c r="B266" s="583"/>
      <c r="C266" s="15"/>
      <c r="D266" s="579"/>
      <c r="G266" s="235"/>
      <c r="H266" s="14"/>
      <c r="K266" s="235"/>
      <c r="L266" s="235"/>
      <c r="M266" s="235"/>
      <c r="N266" s="235"/>
      <c r="O266" s="235"/>
    </row>
    <row r="267" spans="2:18" hidden="1" x14ac:dyDescent="0.2">
      <c r="B267" s="15"/>
      <c r="C267" s="15"/>
      <c r="D267" s="14"/>
      <c r="G267" s="235"/>
      <c r="H267" s="14"/>
      <c r="K267" s="235"/>
      <c r="L267" s="235"/>
      <c r="M267" s="235"/>
      <c r="N267" s="235"/>
      <c r="O267" s="235"/>
    </row>
    <row r="268" spans="2:18" x14ac:dyDescent="0.2">
      <c r="B268" s="6" t="s">
        <v>331</v>
      </c>
      <c r="C268" s="15"/>
      <c r="D268" s="14"/>
      <c r="G268" s="235"/>
      <c r="H268" s="14"/>
      <c r="K268" s="235"/>
      <c r="L268" s="235"/>
      <c r="M268" s="235"/>
      <c r="N268" s="235"/>
      <c r="O268" s="235"/>
    </row>
    <row r="269" spans="2:18" x14ac:dyDescent="0.2">
      <c r="B269" s="3" t="s">
        <v>343</v>
      </c>
      <c r="C269" s="3"/>
      <c r="D269" s="10"/>
      <c r="H269" s="235"/>
      <c r="I269" s="6" t="s">
        <v>1126</v>
      </c>
      <c r="K269" s="235"/>
      <c r="L269" s="6"/>
    </row>
    <row r="270" spans="2:18" x14ac:dyDescent="0.2">
      <c r="B270" s="3"/>
      <c r="C270" s="3"/>
    </row>
    <row r="271" spans="2:18" x14ac:dyDescent="0.2">
      <c r="E271" s="10" t="s">
        <v>333</v>
      </c>
      <c r="H271" s="11"/>
      <c r="I271"/>
      <c r="P271" s="10" t="s">
        <v>74</v>
      </c>
      <c r="Q271" s="4"/>
    </row>
    <row r="272" spans="2:18" x14ac:dyDescent="0.2">
      <c r="B272" s="10" t="s">
        <v>335</v>
      </c>
      <c r="D272" s="11" t="s">
        <v>340</v>
      </c>
      <c r="E272" s="4">
        <v>45073</v>
      </c>
      <c r="F272" s="11">
        <v>11</v>
      </c>
      <c r="H272" s="11"/>
      <c r="I272" s="4"/>
      <c r="L272" s="4"/>
      <c r="M272" s="4"/>
      <c r="P272" s="4"/>
      <c r="Q272" s="4">
        <v>45074</v>
      </c>
      <c r="R272" s="11">
        <v>35</v>
      </c>
    </row>
    <row r="273" spans="1:19" x14ac:dyDescent="0.2">
      <c r="E273" s="10" t="s">
        <v>118</v>
      </c>
      <c r="F273" s="16">
        <f>VLOOKUP(F272,競漕日程!$A$4:$D$45,2)</f>
        <v>0.55555555555555503</v>
      </c>
      <c r="H273" s="11"/>
      <c r="J273" s="16"/>
      <c r="K273" s="110"/>
      <c r="N273" s="16"/>
      <c r="R273" s="16">
        <f>VLOOKUP(R272,競漕日程!$A$4:$D$45,2)</f>
        <v>0.51388888888888895</v>
      </c>
    </row>
    <row r="274" spans="1:19" x14ac:dyDescent="0.2">
      <c r="B274" s="583"/>
      <c r="C274" s="231"/>
      <c r="D274" s="579"/>
      <c r="H274" s="582"/>
      <c r="L274" s="586">
        <v>1</v>
      </c>
      <c r="P274" s="579"/>
    </row>
    <row r="275" spans="1:19" x14ac:dyDescent="0.2">
      <c r="B275" s="583"/>
      <c r="C275" s="231"/>
      <c r="D275" s="579"/>
      <c r="E275"/>
      <c r="H275" s="582"/>
      <c r="I275"/>
      <c r="L275" s="586"/>
      <c r="P275" s="579"/>
      <c r="Q275"/>
    </row>
    <row r="276" spans="1:19" x14ac:dyDescent="0.2">
      <c r="A276" s="10">
        <v>3</v>
      </c>
      <c r="B276" s="583" t="str">
        <f>IF(INDEX('２×Ｗ'!$B$3:$K$45,MATCH($A$276,'２×Ｗ'!$B$3:$B$45,),MATCH($B$272,'２×Ｗ'!$B$2:$K$2,))&lt;&gt;"",INDEX('２×Ｗ'!$B$3:$K$45,MATCH($A$276,'２×Ｗ'!$B$3:$B$45,),MATCH($B$272,'２×Ｗ'!$B$2:$K$2,)),"")</f>
        <v>浜松北高校</v>
      </c>
      <c r="C276" s="15"/>
      <c r="D276" s="579">
        <v>2</v>
      </c>
      <c r="E276" s="113"/>
      <c r="H276" s="579"/>
      <c r="L276" s="585">
        <v>2</v>
      </c>
      <c r="P276" s="579">
        <v>2</v>
      </c>
    </row>
    <row r="277" spans="1:19" x14ac:dyDescent="0.2">
      <c r="B277" s="583"/>
      <c r="C277" s="15"/>
      <c r="D277" s="579"/>
      <c r="E277" s="144"/>
      <c r="F277" s="348"/>
      <c r="H277" s="579"/>
      <c r="I277"/>
      <c r="L277" s="585"/>
      <c r="P277" s="579"/>
      <c r="Q277" s="152" t="s">
        <v>1203</v>
      </c>
      <c r="R277" s="348"/>
    </row>
    <row r="278" spans="1:19" x14ac:dyDescent="0.2">
      <c r="A278" s="10">
        <v>4</v>
      </c>
      <c r="B278" s="583" t="str">
        <f>IF(INDEX('２×Ｗ'!$B$3:$K$45,MATCH($A$278,'２×Ｗ'!$B$3:$B$45,),MATCH($B$272,'２×Ｗ'!$B$2:$K$2,))&lt;&gt;"",INDEX('２×Ｗ'!$B$3:$K$45,MATCH($A$278,'２×Ｗ'!$B$3:$B$45,),MATCH($B$272,'２×Ｗ'!$B$2:$K$2,)),"")</f>
        <v>浜松西高校</v>
      </c>
      <c r="C278" s="15"/>
      <c r="D278" s="579">
        <v>3</v>
      </c>
      <c r="E278" s="112"/>
      <c r="F278" s="348"/>
      <c r="H278" s="579"/>
      <c r="L278" s="585">
        <v>3</v>
      </c>
      <c r="P278" s="579">
        <v>3</v>
      </c>
      <c r="Q278" s="112"/>
      <c r="R278" s="348"/>
    </row>
    <row r="279" spans="1:19" x14ac:dyDescent="0.2">
      <c r="B279" s="583"/>
      <c r="C279" s="15"/>
      <c r="D279" s="579"/>
      <c r="E279" s="152"/>
      <c r="F279" s="348"/>
      <c r="H279" s="579"/>
      <c r="I279"/>
      <c r="L279" s="585"/>
      <c r="P279" s="579"/>
      <c r="Q279" s="144" t="s">
        <v>1125</v>
      </c>
      <c r="R279" s="350"/>
    </row>
    <row r="280" spans="1:19" x14ac:dyDescent="0.2">
      <c r="A280" s="10">
        <v>1</v>
      </c>
      <c r="B280" s="583" t="str">
        <f>IF(INDEX('２×Ｗ'!$B$3:$K$45,MATCH($A$280,'２×Ｗ'!$B$3:$B$45,),MATCH($B$272,'２×Ｗ'!$B$2:$K$2,))&lt;&gt;"",INDEX('２×Ｗ'!$B$3:$K$45,MATCH($A$280,'２×Ｗ'!$B$3:$B$45,),MATCH($B$272,'２×Ｗ'!$B$2:$K$2,)),"")</f>
        <v>浜松大平台高校</v>
      </c>
      <c r="C280" s="15"/>
      <c r="D280" s="579">
        <v>4</v>
      </c>
      <c r="E280" s="115"/>
      <c r="F280" s="348"/>
      <c r="H280" s="579"/>
      <c r="L280" s="585">
        <v>4</v>
      </c>
      <c r="P280" s="579">
        <v>4</v>
      </c>
      <c r="Q280" s="115"/>
      <c r="R280" s="348"/>
    </row>
    <row r="281" spans="1:19" x14ac:dyDescent="0.2">
      <c r="B281" s="583"/>
      <c r="C281" s="15"/>
      <c r="D281" s="579"/>
      <c r="E281" s="146"/>
      <c r="H281" s="579"/>
      <c r="I281"/>
      <c r="L281" s="585"/>
      <c r="P281" s="587"/>
      <c r="Q281" s="152" t="s">
        <v>1127</v>
      </c>
      <c r="R281" s="348"/>
    </row>
    <row r="282" spans="1:19" x14ac:dyDescent="0.2">
      <c r="A282" s="10">
        <v>2</v>
      </c>
      <c r="B282" s="583" t="str">
        <f>IF(INDEX('２×Ｗ'!$B$3:$K$45,MATCH($A$282,'２×Ｗ'!$B$3:$B$45,),MATCH($B$272,'２×Ｗ'!$B$2:$K$2,))&lt;&gt;"",INDEX('２×Ｗ'!$B$3:$K$45,MATCH($A$282,'２×Ｗ'!$B$3:$B$45,),MATCH($B$272,'２×Ｗ'!$B$2:$K$2,)),"")</f>
        <v>浜松湖南高校</v>
      </c>
      <c r="C282" s="15"/>
      <c r="D282" s="579">
        <v>5</v>
      </c>
      <c r="E282" s="115"/>
      <c r="H282" s="579"/>
      <c r="L282" s="585">
        <v>5</v>
      </c>
      <c r="P282" s="579">
        <v>5</v>
      </c>
      <c r="Q282" s="115"/>
    </row>
    <row r="283" spans="1:19" x14ac:dyDescent="0.2">
      <c r="B283" s="583"/>
      <c r="C283" s="15"/>
      <c r="D283" s="579"/>
      <c r="E283"/>
      <c r="H283" s="579"/>
      <c r="I283"/>
      <c r="L283" s="585"/>
      <c r="P283" s="579"/>
      <c r="Q283" s="152" t="s">
        <v>1129</v>
      </c>
    </row>
    <row r="284" spans="1:19" s="11" customFormat="1" x14ac:dyDescent="0.2">
      <c r="A284" s="10"/>
      <c r="B284" s="583"/>
      <c r="C284" s="15"/>
      <c r="D284" s="579"/>
      <c r="E284" s="10"/>
      <c r="G284" s="10"/>
      <c r="H284" s="579"/>
      <c r="I284" s="10"/>
      <c r="K284" s="10"/>
      <c r="L284" s="585">
        <v>6</v>
      </c>
      <c r="M284" s="10"/>
      <c r="O284" s="10"/>
      <c r="P284" s="579"/>
      <c r="Q284" s="10"/>
      <c r="S284" s="10"/>
    </row>
    <row r="285" spans="1:19" s="11" customFormat="1" x14ac:dyDescent="0.2">
      <c r="A285" s="10"/>
      <c r="B285" s="583"/>
      <c r="C285" s="15"/>
      <c r="D285" s="579"/>
      <c r="E285"/>
      <c r="G285" s="10"/>
      <c r="H285" s="579"/>
      <c r="I285"/>
      <c r="K285" s="10"/>
      <c r="L285" s="585"/>
      <c r="M285" s="10"/>
      <c r="O285" s="10"/>
      <c r="P285" s="579"/>
      <c r="Q285"/>
      <c r="S285" s="10"/>
    </row>
    <row r="286" spans="1:19" s="11" customFormat="1" x14ac:dyDescent="0.2">
      <c r="A286" s="10"/>
      <c r="B286" s="15"/>
      <c r="C286" s="15"/>
      <c r="D286" s="14"/>
      <c r="E286" s="10"/>
      <c r="G286" s="10"/>
      <c r="H286" s="14"/>
      <c r="I286" s="10"/>
      <c r="K286" s="10"/>
      <c r="L286" s="14"/>
      <c r="M286" s="10"/>
      <c r="O286" s="10"/>
      <c r="P286" s="10"/>
      <c r="Q286" s="10"/>
      <c r="S286" s="10"/>
    </row>
    <row r="287" spans="1:19" s="11" customFormat="1" ht="13" hidden="1" customHeight="1" x14ac:dyDescent="0.2">
      <c r="A287" s="10"/>
      <c r="B287" s="10"/>
      <c r="C287" s="10"/>
      <c r="E287" s="10"/>
      <c r="F287" s="11">
        <v>18</v>
      </c>
      <c r="G287" s="10"/>
      <c r="H287" s="588"/>
      <c r="I287" s="588"/>
      <c r="K287" s="10"/>
      <c r="L287" s="14"/>
      <c r="M287" s="10"/>
      <c r="O287" s="10"/>
      <c r="P287" s="10"/>
      <c r="Q287" s="10"/>
      <c r="S287" s="10"/>
    </row>
    <row r="288" spans="1:19" s="11" customFormat="1" ht="13" hidden="1" customHeight="1" x14ac:dyDescent="0.2">
      <c r="A288" s="10"/>
      <c r="B288" s="10"/>
      <c r="C288" s="10"/>
      <c r="E288" s="10" t="s">
        <v>119</v>
      </c>
      <c r="F288" s="16">
        <v>0.6166666666666667</v>
      </c>
      <c r="G288" s="10"/>
      <c r="H288" s="10"/>
      <c r="I288" s="10"/>
      <c r="J288" s="16"/>
      <c r="K288" s="10"/>
      <c r="L288" s="10"/>
      <c r="M288" s="116"/>
      <c r="N288" s="16"/>
      <c r="O288" s="10"/>
      <c r="P288" s="10" t="s">
        <v>74</v>
      </c>
      <c r="Q288" s="4"/>
      <c r="S288" s="10"/>
    </row>
    <row r="289" spans="1:19" s="11" customFormat="1" hidden="1" x14ac:dyDescent="0.2">
      <c r="A289" s="10"/>
      <c r="B289" s="589" t="e">
        <f>IF(INDEX('２×Ｗ'!$B$3:$K$45,MATCH($A$289,'２×Ｗ'!$B$3:$B$45,),MATCH($B$272,'２×Ｗ'!$B$2:$K$2,))&lt;&gt;"",INDEX('２×Ｗ'!$B$3:$K$45,MATCH($A$289,'２×Ｗ'!$B$3:$B$45,),MATCH($B$272,'２×Ｗ'!$B$2:$K$2,)),"")</f>
        <v>#N/A</v>
      </c>
      <c r="C289" s="15"/>
      <c r="D289" s="586">
        <v>1</v>
      </c>
      <c r="E289" s="10"/>
      <c r="G289" s="10"/>
      <c r="H289" s="579"/>
      <c r="I289" s="10"/>
      <c r="K289" s="110"/>
      <c r="L289" s="586">
        <v>1</v>
      </c>
      <c r="M289" s="10"/>
      <c r="O289" s="10"/>
      <c r="P289" s="4"/>
      <c r="Q289" s="4">
        <v>44703</v>
      </c>
      <c r="R289" s="11">
        <v>38</v>
      </c>
      <c r="S289" s="10"/>
    </row>
    <row r="290" spans="1:19" s="11" customFormat="1" hidden="1" x14ac:dyDescent="0.2">
      <c r="A290" s="10"/>
      <c r="B290" s="589"/>
      <c r="C290" s="15"/>
      <c r="D290" s="586"/>
      <c r="E290" s="10"/>
      <c r="G290" s="10"/>
      <c r="H290" s="579"/>
      <c r="I290" s="10"/>
      <c r="K290" s="10"/>
      <c r="L290" s="586"/>
      <c r="M290" s="10"/>
      <c r="O290" s="10"/>
      <c r="P290" s="10"/>
      <c r="Q290" s="10"/>
      <c r="R290" s="16">
        <f>VLOOKUP(R289,競漕日程!$A$4:$D$45,2)</f>
        <v>0.53472222222222199</v>
      </c>
      <c r="S290" s="10"/>
    </row>
    <row r="291" spans="1:19" s="11" customFormat="1" hidden="1" x14ac:dyDescent="0.2">
      <c r="A291" s="10"/>
      <c r="B291" s="583" t="e">
        <f>IF(INDEX('２×Ｗ'!$B$3:$K$45,MATCH($A$291,'２×Ｗ'!$B$3:$B$45,),MATCH($B$272,'２×Ｗ'!$B$2:$K$2,))&lt;&gt;"",INDEX('２×Ｗ'!$B$3:$K$45,MATCH($A$291,'２×Ｗ'!$B$3:$B$45,),MATCH($B$272,'２×Ｗ'!$B$2:$K$2,)),"")</f>
        <v>#N/A</v>
      </c>
      <c r="C291" s="15"/>
      <c r="D291" s="579">
        <v>2</v>
      </c>
      <c r="E291" s="10"/>
      <c r="G291" s="10"/>
      <c r="H291" s="579"/>
      <c r="I291" s="10"/>
      <c r="K291" s="10"/>
      <c r="L291" s="579"/>
      <c r="M291" s="10"/>
      <c r="O291" s="10"/>
      <c r="P291" s="579">
        <v>1</v>
      </c>
      <c r="Q291" s="10"/>
      <c r="S291" s="10"/>
    </row>
    <row r="292" spans="1:19" s="11" customFormat="1" hidden="1" x14ac:dyDescent="0.2">
      <c r="A292" s="10"/>
      <c r="B292" s="583"/>
      <c r="C292" s="15"/>
      <c r="D292" s="579"/>
      <c r="E292" s="111"/>
      <c r="G292" s="10"/>
      <c r="H292" s="579"/>
      <c r="I292" s="10"/>
      <c r="K292" s="10"/>
      <c r="L292" s="579"/>
      <c r="M292" s="10"/>
      <c r="O292" s="10"/>
      <c r="P292" s="579"/>
      <c r="Q292" s="144" t="s">
        <v>445</v>
      </c>
      <c r="S292" s="10"/>
    </row>
    <row r="293" spans="1:19" s="11" customFormat="1" hidden="1" x14ac:dyDescent="0.2">
      <c r="A293" s="10"/>
      <c r="B293" s="583" t="e">
        <f>IF(INDEX('２×Ｗ'!$B$3:$K$45,MATCH($A$293,'２×Ｗ'!$B$3:$B$45,),MATCH($B$272,'２×Ｗ'!$B$2:$K$2,))&lt;&gt;"",INDEX('２×Ｗ'!$B$3:$K$45,MATCH($A$293,'２×Ｗ'!$B$3:$B$45,),MATCH($B$272,'２×Ｗ'!$B$2:$K$2,)),"")</f>
        <v>#N/A</v>
      </c>
      <c r="C293" s="15"/>
      <c r="D293" s="579">
        <v>3</v>
      </c>
      <c r="E293" s="115"/>
      <c r="G293" s="10"/>
      <c r="H293" s="579"/>
      <c r="I293" s="10"/>
      <c r="K293" s="10"/>
      <c r="L293" s="579"/>
      <c r="M293" s="10"/>
      <c r="O293" s="10"/>
      <c r="P293" s="579">
        <v>2</v>
      </c>
      <c r="Q293" s="112"/>
      <c r="S293" s="10"/>
    </row>
    <row r="294" spans="1:19" s="11" customFormat="1" hidden="1" x14ac:dyDescent="0.2">
      <c r="A294" s="10"/>
      <c r="B294" s="583"/>
      <c r="C294" s="15"/>
      <c r="D294" s="579"/>
      <c r="E294" s="111"/>
      <c r="F294" s="353"/>
      <c r="G294" s="10"/>
      <c r="H294" s="579"/>
      <c r="I294" s="10"/>
      <c r="K294" s="10"/>
      <c r="L294" s="579"/>
      <c r="M294" s="10"/>
      <c r="O294" s="10"/>
      <c r="P294" s="579"/>
      <c r="Q294" s="152" t="s">
        <v>448</v>
      </c>
      <c r="R294" s="348"/>
      <c r="S294" s="10"/>
    </row>
    <row r="295" spans="1:19" s="11" customFormat="1" hidden="1" x14ac:dyDescent="0.2">
      <c r="A295" s="10"/>
      <c r="B295" s="583" t="e">
        <f>IF(INDEX('２×Ｗ'!$B$3:$K$45,MATCH($A$295,'２×Ｗ'!$B$3:$B$45,),MATCH($B$272,'２×Ｗ'!$B$2:$K$2,))&lt;&gt;"",INDEX('２×Ｗ'!$B$3:$K$45,MATCH($A$295,'２×Ｗ'!$B$3:$B$45,),MATCH($B$272,'２×Ｗ'!$B$2:$K$2,)),"")</f>
        <v>#N/A</v>
      </c>
      <c r="C295" s="15"/>
      <c r="D295" s="579">
        <v>4</v>
      </c>
      <c r="E295" s="112"/>
      <c r="F295" s="348"/>
      <c r="G295" s="10"/>
      <c r="H295" s="579"/>
      <c r="I295" s="10"/>
      <c r="K295" s="10"/>
      <c r="L295" s="579"/>
      <c r="M295" s="10"/>
      <c r="O295" s="10"/>
      <c r="P295" s="579">
        <v>3</v>
      </c>
      <c r="Q295" s="112"/>
      <c r="R295" s="348"/>
      <c r="S295" s="10"/>
    </row>
    <row r="296" spans="1:19" s="11" customFormat="1" hidden="1" x14ac:dyDescent="0.2">
      <c r="A296" s="10"/>
      <c r="B296" s="583"/>
      <c r="C296" s="15"/>
      <c r="D296" s="579"/>
      <c r="E296" s="111"/>
      <c r="F296" s="353"/>
      <c r="G296" s="10"/>
      <c r="H296" s="579"/>
      <c r="I296" s="10"/>
      <c r="K296" s="10"/>
      <c r="L296" s="579"/>
      <c r="M296" s="10"/>
      <c r="O296" s="10"/>
      <c r="P296" s="579"/>
      <c r="Q296" s="152" t="s">
        <v>446</v>
      </c>
      <c r="R296" s="350"/>
      <c r="S296" s="10"/>
    </row>
    <row r="297" spans="1:19" s="11" customFormat="1" hidden="1" x14ac:dyDescent="0.2">
      <c r="A297" s="10"/>
      <c r="B297" s="583" t="e">
        <f>IF(INDEX('２×Ｗ'!$B$3:$K$45,MATCH($A$297,'２×Ｗ'!$B$3:$B$45,),MATCH($B$272,'２×Ｗ'!$B$2:$K$2,))&lt;&gt;"",INDEX('２×Ｗ'!$B$3:$K$45,MATCH($A$297,'２×Ｗ'!$B$3:$B$45,),MATCH($B$272,'２×Ｗ'!$B$2:$K$2,)),"")</f>
        <v>#N/A</v>
      </c>
      <c r="C297" s="15"/>
      <c r="D297" s="579">
        <v>5</v>
      </c>
      <c r="E297" s="112"/>
      <c r="F297" s="348"/>
      <c r="G297" s="10"/>
      <c r="H297" s="579"/>
      <c r="I297" s="10"/>
      <c r="K297" s="10"/>
      <c r="L297" s="579"/>
      <c r="M297" s="10"/>
      <c r="O297" s="10"/>
      <c r="P297" s="579">
        <v>4</v>
      </c>
      <c r="Q297" s="115"/>
      <c r="R297" s="348"/>
      <c r="S297" s="10"/>
    </row>
    <row r="298" spans="1:19" s="11" customFormat="1" hidden="1" x14ac:dyDescent="0.2">
      <c r="A298" s="10"/>
      <c r="B298" s="583"/>
      <c r="C298" s="15"/>
      <c r="D298" s="579"/>
      <c r="E298" s="114"/>
      <c r="G298" s="10"/>
      <c r="H298" s="579"/>
      <c r="I298" s="10"/>
      <c r="K298" s="10"/>
      <c r="L298" s="579"/>
      <c r="M298" s="10"/>
      <c r="O298" s="10"/>
      <c r="P298" s="587"/>
      <c r="Q298" s="152" t="s">
        <v>447</v>
      </c>
      <c r="R298" s="348"/>
      <c r="S298" s="10"/>
    </row>
    <row r="299" spans="1:19" s="11" customFormat="1" hidden="1" x14ac:dyDescent="0.2">
      <c r="A299" s="10"/>
      <c r="B299" s="584" t="e">
        <f>IF(INDEX('２×Ｗ'!$B$3:$K$45,MATCH($A$299,'２×Ｗ'!$B$3:$B$45,),MATCH($B$272,'２×Ｗ'!$B$2:$K$2,))&lt;&gt;"",INDEX('２×Ｗ'!$B$3:$K$45,MATCH($A$299,'２×Ｗ'!$B$3:$B$45,),MATCH($B$272,'２×Ｗ'!$B$2:$K$2,)),"")</f>
        <v>#N/A</v>
      </c>
      <c r="C299" s="15"/>
      <c r="D299" s="579"/>
      <c r="E299" s="10"/>
      <c r="G299" s="10"/>
      <c r="H299" s="14"/>
      <c r="I299" s="10"/>
      <c r="K299" s="10"/>
      <c r="L299" s="579"/>
      <c r="M299" s="10"/>
      <c r="O299" s="10"/>
      <c r="P299" s="579">
        <v>5</v>
      </c>
      <c r="Q299" s="115"/>
      <c r="S299" s="10"/>
    </row>
    <row r="300" spans="1:19" hidden="1" x14ac:dyDescent="0.2">
      <c r="B300" s="584"/>
      <c r="C300" s="15"/>
      <c r="D300" s="579"/>
      <c r="H300" s="14"/>
      <c r="L300" s="579"/>
      <c r="P300" s="579"/>
      <c r="Q300" s="383" t="s">
        <v>449</v>
      </c>
    </row>
    <row r="301" spans="1:19" x14ac:dyDescent="0.2">
      <c r="B301" s="15"/>
      <c r="C301" s="15"/>
      <c r="D301" s="14"/>
      <c r="H301" s="14"/>
      <c r="L301" s="14"/>
      <c r="P301" s="579"/>
    </row>
    <row r="302" spans="1:19" hidden="1" x14ac:dyDescent="0.2">
      <c r="F302" s="11">
        <v>10</v>
      </c>
      <c r="H302" s="14"/>
      <c r="L302" s="14"/>
      <c r="P302" s="579"/>
      <c r="Q302"/>
    </row>
    <row r="303" spans="1:19" hidden="1" x14ac:dyDescent="0.2">
      <c r="E303" s="10" t="s">
        <v>119</v>
      </c>
      <c r="F303" s="16">
        <v>0.55000000000000004</v>
      </c>
      <c r="H303" s="14"/>
      <c r="L303" s="14"/>
    </row>
    <row r="304" spans="1:19" hidden="1" x14ac:dyDescent="0.2">
      <c r="B304" s="589" t="e">
        <f>IF(INDEX('２×Ｗ'!$B$3:$K$45,MATCH($A$304,'２×Ｗ'!$B$3:$B$45,),MATCH($B$272,'２×Ｗ'!$B$2:$K$2,))&lt;&gt;"",INDEX('２×Ｗ'!$B$3:$K$45,MATCH($A$304,'２×Ｗ'!$B$3:$B$45,),MATCH($B$272,'２×Ｗ'!$B$2:$K$2,)),"")</f>
        <v>#N/A</v>
      </c>
      <c r="C304" s="15"/>
      <c r="D304" s="586">
        <v>1</v>
      </c>
      <c r="H304" s="14"/>
      <c r="L304" s="14"/>
      <c r="P304" s="588"/>
      <c r="Q304" s="588"/>
    </row>
    <row r="305" spans="2:18" hidden="1" x14ac:dyDescent="0.2">
      <c r="B305" s="589"/>
      <c r="C305" s="15"/>
      <c r="D305" s="586"/>
      <c r="H305" s="14"/>
      <c r="L305" s="14"/>
      <c r="R305" s="16"/>
    </row>
    <row r="306" spans="2:18" hidden="1" x14ac:dyDescent="0.2">
      <c r="B306" s="583" t="e">
        <f>IF(INDEX('２×Ｗ'!$B$3:$K$45,MATCH($A$306,'２×Ｗ'!$B$3:$B$45,),MATCH($B$272,'２×Ｗ'!$B$2:$K$2,))&lt;&gt;"",INDEX('２×Ｗ'!$B$3:$K$45,MATCH($A$306,'２×Ｗ'!$B$3:$B$45,),MATCH($B$272,'２×Ｗ'!$B$2:$K$2,)),"")</f>
        <v>#N/A</v>
      </c>
      <c r="C306" s="15"/>
      <c r="D306" s="579">
        <v>2</v>
      </c>
      <c r="H306" s="14"/>
      <c r="L306" s="14"/>
      <c r="P306" s="579"/>
    </row>
    <row r="307" spans="2:18" hidden="1" x14ac:dyDescent="0.2">
      <c r="B307" s="583"/>
      <c r="C307" s="15"/>
      <c r="D307" s="579"/>
      <c r="E307" s="111"/>
      <c r="H307" s="14"/>
      <c r="L307" s="14"/>
      <c r="P307" s="579"/>
    </row>
    <row r="308" spans="2:18" hidden="1" x14ac:dyDescent="0.2">
      <c r="B308" s="583" t="e">
        <f>IF(INDEX('２×Ｗ'!$B$3:$K$45,MATCH($A$308,'２×Ｗ'!$B$3:$B$45,),MATCH($B$272,'２×Ｗ'!$B$2:$K$2,))&lt;&gt;"",INDEX('２×Ｗ'!$B$3:$K$45,MATCH($A$308,'２×Ｗ'!$B$3:$B$45,),MATCH($B$272,'２×Ｗ'!$B$2:$K$2,)),"")</f>
        <v>#N/A</v>
      </c>
      <c r="C308" s="15"/>
      <c r="D308" s="579">
        <v>3</v>
      </c>
      <c r="E308" s="115"/>
      <c r="F308" s="350"/>
      <c r="H308" s="14"/>
      <c r="L308" s="14"/>
      <c r="P308" s="579"/>
    </row>
    <row r="309" spans="2:18" hidden="1" x14ac:dyDescent="0.2">
      <c r="B309" s="583"/>
      <c r="C309" s="15"/>
      <c r="D309" s="579"/>
      <c r="E309" s="111"/>
      <c r="F309" s="348"/>
      <c r="H309" s="14"/>
      <c r="L309" s="14"/>
      <c r="P309" s="579"/>
    </row>
    <row r="310" spans="2:18" hidden="1" x14ac:dyDescent="0.2">
      <c r="B310" s="583" t="e">
        <f>IF(INDEX('２×Ｗ'!$B$3:$K$45,MATCH($A$310,'２×Ｗ'!$B$3:$B$45,),MATCH($B$272,'２×Ｗ'!$B$2:$K$2,))&lt;&gt;"",INDEX('２×Ｗ'!$B$3:$K$45,MATCH($A$310,'２×Ｗ'!$B$3:$B$45,),MATCH($B$272,'２×Ｗ'!$B$2:$K$2,)),"")</f>
        <v>#N/A</v>
      </c>
      <c r="C310" s="15"/>
      <c r="D310" s="579">
        <v>4</v>
      </c>
      <c r="E310" s="112"/>
      <c r="F310" s="350"/>
      <c r="H310" s="14"/>
      <c r="L310" s="14"/>
      <c r="P310" s="579"/>
    </row>
    <row r="311" spans="2:18" hidden="1" x14ac:dyDescent="0.2">
      <c r="B311" s="583"/>
      <c r="C311" s="15"/>
      <c r="D311" s="579"/>
      <c r="E311" s="111"/>
      <c r="F311" s="353"/>
      <c r="H311" s="14"/>
      <c r="L311" s="14"/>
      <c r="P311" s="579"/>
    </row>
    <row r="312" spans="2:18" hidden="1" x14ac:dyDescent="0.2">
      <c r="B312" s="583" t="e">
        <f>IF(INDEX('２×Ｗ'!$B$3:$K$45,MATCH($A$312,'２×Ｗ'!$B$3:$B$45,),MATCH($B$272,'２×Ｗ'!$B$2:$K$2,))&lt;&gt;"",INDEX('２×Ｗ'!$B$3:$K$45,MATCH($A$312,'２×Ｗ'!$B$3:$B$45,),MATCH($B$272,'２×Ｗ'!$B$2:$K$2,)),"")</f>
        <v>#N/A</v>
      </c>
      <c r="C312" s="15"/>
      <c r="D312" s="579">
        <v>5</v>
      </c>
      <c r="E312" s="112"/>
      <c r="F312" s="348"/>
      <c r="H312" s="14"/>
      <c r="L312" s="14"/>
      <c r="P312" s="579"/>
    </row>
    <row r="313" spans="2:18" hidden="1" x14ac:dyDescent="0.2">
      <c r="B313" s="583"/>
      <c r="C313" s="15"/>
      <c r="D313" s="579"/>
      <c r="E313" s="114"/>
      <c r="H313" s="14"/>
      <c r="L313" s="14"/>
      <c r="P313" s="579"/>
    </row>
    <row r="314" spans="2:18" hidden="1" x14ac:dyDescent="0.2">
      <c r="B314" s="589" t="e">
        <f>IF(INDEX('２×Ｗ'!$B$3:$K$45,MATCH($A$314,'２×Ｗ'!$B$3:$B$45,),MATCH($B$272,'２×Ｗ'!$B$2:$K$2,))&lt;&gt;"",INDEX('２×Ｗ'!$B$3:$K$45,MATCH($A$314,'２×Ｗ'!$B$3:$B$45,),MATCH($B$272,'２×Ｗ'!$B$2:$K$2,)),"")</f>
        <v>#N/A</v>
      </c>
      <c r="C314" s="15"/>
      <c r="D314" s="579"/>
      <c r="H314" s="14"/>
      <c r="L314" s="14"/>
    </row>
    <row r="315" spans="2:18" hidden="1" x14ac:dyDescent="0.2">
      <c r="B315" s="589"/>
      <c r="C315" s="15"/>
      <c r="D315" s="579"/>
      <c r="H315" s="14"/>
      <c r="L315" s="14"/>
    </row>
    <row r="316" spans="2:18" x14ac:dyDescent="0.2">
      <c r="B316" s="6" t="s">
        <v>331</v>
      </c>
      <c r="C316" s="15"/>
      <c r="D316" s="14"/>
      <c r="H316" s="14"/>
      <c r="L316" s="14"/>
    </row>
    <row r="317" spans="2:18" x14ac:dyDescent="0.2">
      <c r="B317" s="3" t="s">
        <v>344</v>
      </c>
      <c r="C317" s="3"/>
      <c r="D317" s="10"/>
      <c r="H317" s="235"/>
      <c r="I317" s="6" t="s">
        <v>1126</v>
      </c>
    </row>
    <row r="318" spans="2:18" x14ac:dyDescent="0.2">
      <c r="B318" s="3"/>
      <c r="C318" s="3"/>
    </row>
    <row r="319" spans="2:18" x14ac:dyDescent="0.2">
      <c r="E319" s="10" t="s">
        <v>333</v>
      </c>
      <c r="P319" s="10" t="s">
        <v>74</v>
      </c>
      <c r="Q319" s="4"/>
    </row>
    <row r="320" spans="2:18" x14ac:dyDescent="0.2">
      <c r="B320" s="10" t="s">
        <v>335</v>
      </c>
      <c r="D320" s="11" t="s">
        <v>34</v>
      </c>
      <c r="E320" s="4">
        <v>45073</v>
      </c>
      <c r="F320" s="11">
        <v>22</v>
      </c>
      <c r="I320" s="4"/>
      <c r="L320" s="4"/>
      <c r="M320" s="4"/>
      <c r="P320" s="4"/>
      <c r="Q320" s="4">
        <v>45074</v>
      </c>
      <c r="R320" s="11">
        <v>38</v>
      </c>
    </row>
    <row r="321" spans="1:18" x14ac:dyDescent="0.2">
      <c r="E321" s="10" t="s">
        <v>118</v>
      </c>
      <c r="F321" s="16">
        <f>VLOOKUP(F320,競漕日程!$A$4:$D$45,2)</f>
        <v>0.66944444444444395</v>
      </c>
      <c r="J321" s="16"/>
      <c r="K321" s="110"/>
      <c r="N321" s="16"/>
      <c r="O321" s="110"/>
      <c r="R321" s="16">
        <f>VLOOKUP(R320,競漕日程!$A$4:$D$45,2)</f>
        <v>0.53472222222222199</v>
      </c>
    </row>
    <row r="322" spans="1:18" x14ac:dyDescent="0.2">
      <c r="A322" s="10">
        <v>2</v>
      </c>
      <c r="B322" s="583" t="str">
        <f>IF(INDEX('４×＋Ｍ'!$B$3:$K$108,MATCH($A$322,'４×＋Ｍ'!$B$3:$B$108,),MATCH($B$320,'４×＋Ｍ'!$B$2:$K$2,))&lt;&gt;"",INDEX('４×＋Ｍ'!$B$3:$K$108,MATCH($A$322,'４×＋Ｍ'!$B$3:$B$108,),MATCH($B$320,'４×＋Ｍ'!$B$2:$K$2,)),"")</f>
        <v>浜松湖南高校B</v>
      </c>
      <c r="C322" s="205"/>
      <c r="D322" s="582">
        <v>1</v>
      </c>
      <c r="H322" s="582"/>
      <c r="L322" s="579"/>
      <c r="P322" s="579">
        <v>1</v>
      </c>
    </row>
    <row r="323" spans="1:18" x14ac:dyDescent="0.2">
      <c r="B323" s="583"/>
      <c r="C323" s="205"/>
      <c r="D323" s="582"/>
      <c r="E323" s="212"/>
      <c r="H323" s="582"/>
      <c r="I323"/>
      <c r="L323" s="579"/>
      <c r="M323"/>
      <c r="P323" s="579"/>
      <c r="Q323" s="144" t="s">
        <v>1204</v>
      </c>
    </row>
    <row r="324" spans="1:18" x14ac:dyDescent="0.2">
      <c r="A324" s="10">
        <v>6</v>
      </c>
      <c r="B324" s="583" t="str">
        <f>IF(INDEX('４×＋Ｍ'!$B$3:$K$108,MATCH($A$324,'４×＋Ｍ'!$B$3:$B$108,),MATCH($B$320,'４×＋Ｍ'!$B$2:$K$2,))&lt;&gt;"",INDEX('４×＋Ｍ'!$B$3:$K$108,MATCH($A$324,'４×＋Ｍ'!$B$3:$B$108,),MATCH($B$320,'４×＋Ｍ'!$B$2:$K$2,)),"")</f>
        <v>浜松北高校</v>
      </c>
      <c r="C324" s="15"/>
      <c r="D324" s="579">
        <v>2</v>
      </c>
      <c r="E324" s="115"/>
      <c r="H324" s="579"/>
      <c r="L324" s="579"/>
      <c r="P324" s="579">
        <v>2</v>
      </c>
      <c r="Q324" s="112"/>
    </row>
    <row r="325" spans="1:18" x14ac:dyDescent="0.2">
      <c r="B325" s="583"/>
      <c r="C325" s="15"/>
      <c r="D325" s="579"/>
      <c r="E325" s="212"/>
      <c r="H325" s="579"/>
      <c r="I325"/>
      <c r="L325" s="579"/>
      <c r="M325"/>
      <c r="P325" s="579"/>
      <c r="Q325" s="152" t="s">
        <v>1203</v>
      </c>
      <c r="R325" s="348"/>
    </row>
    <row r="326" spans="1:18" x14ac:dyDescent="0.2">
      <c r="A326" s="10">
        <v>5</v>
      </c>
      <c r="B326" s="583" t="str">
        <f>IF(INDEX('４×＋Ｍ'!$B$3:$K$108,MATCH($A$326,'４×＋Ｍ'!$B$3:$B$108,),MATCH($B$320,'４×＋Ｍ'!$B$2:$K$2,))&lt;&gt;"",INDEX('４×＋Ｍ'!$B$3:$K$108,MATCH($A$326,'４×＋Ｍ'!$B$3:$B$108,),MATCH($B$320,'４×＋Ｍ'!$B$2:$K$2,)),"")</f>
        <v>浜松西高校</v>
      </c>
      <c r="C326" s="15"/>
      <c r="D326" s="579">
        <v>3</v>
      </c>
      <c r="E326" s="112"/>
      <c r="F326" s="348"/>
      <c r="H326" s="579"/>
      <c r="L326" s="579"/>
      <c r="P326" s="579">
        <v>3</v>
      </c>
      <c r="Q326" s="112"/>
      <c r="R326" s="348"/>
    </row>
    <row r="327" spans="1:18" x14ac:dyDescent="0.2">
      <c r="B327" s="583"/>
      <c r="C327" s="15"/>
      <c r="D327" s="579"/>
      <c r="E327" s="114"/>
      <c r="F327" s="348"/>
      <c r="H327" s="579"/>
      <c r="I327"/>
      <c r="L327" s="579"/>
      <c r="M327"/>
      <c r="P327" s="579"/>
      <c r="Q327" s="144" t="s">
        <v>1205</v>
      </c>
      <c r="R327" s="350"/>
    </row>
    <row r="328" spans="1:18" x14ac:dyDescent="0.2">
      <c r="A328" s="10">
        <v>1</v>
      </c>
      <c r="B328" s="583" t="str">
        <f>IF(INDEX('４×＋Ｍ'!$B$3:$K$108,MATCH($A$328,'４×＋Ｍ'!$B$3:$B$108,),MATCH($B$320,'４×＋Ｍ'!$B$2:$K$2,))&lt;&gt;"",INDEX('４×＋Ｍ'!$B$3:$K$108,MATCH($A$328,'４×＋Ｍ'!$B$3:$B$108,),MATCH($B$320,'４×＋Ｍ'!$B$2:$K$2,)),"")</f>
        <v>浜松湖南高校A</v>
      </c>
      <c r="C328" s="15"/>
      <c r="D328" s="579">
        <v>4</v>
      </c>
      <c r="E328" s="115"/>
      <c r="H328" s="579"/>
      <c r="L328" s="579"/>
      <c r="P328" s="579">
        <v>4</v>
      </c>
      <c r="Q328" s="115"/>
      <c r="R328" s="348"/>
    </row>
    <row r="329" spans="1:18" x14ac:dyDescent="0.2">
      <c r="B329" s="583"/>
      <c r="C329" s="15"/>
      <c r="D329" s="579"/>
      <c r="E329" s="212"/>
      <c r="H329" s="579"/>
      <c r="I329"/>
      <c r="L329" s="587"/>
      <c r="M329"/>
      <c r="P329" s="587"/>
      <c r="Q329" s="152" t="s">
        <v>1206</v>
      </c>
      <c r="R329" s="348"/>
    </row>
    <row r="330" spans="1:18" x14ac:dyDescent="0.2">
      <c r="A330" s="10">
        <v>3</v>
      </c>
      <c r="B330" s="581" t="str">
        <f>IF(INDEX('４×＋Ｍ'!$B$3:$K$108,MATCH($A$330,'４×＋Ｍ'!$B$3:$B$108,),MATCH($B$320,'４×＋Ｍ'!$B$2:$K$2,))&lt;&gt;"",INDEX('４×＋Ｍ'!$B$3:$K$108,MATCH($A$330,'４×＋Ｍ'!$B$3:$B$108,),MATCH($B$320,'４×＋Ｍ'!$B$2:$K$2,)),"")</f>
        <v>沼津工業高校</v>
      </c>
      <c r="C330" s="15"/>
      <c r="D330" s="579">
        <v>5</v>
      </c>
      <c r="E330" s="112"/>
      <c r="H330" s="579"/>
      <c r="L330" s="579"/>
      <c r="P330" s="579">
        <v>5</v>
      </c>
      <c r="Q330" s="115"/>
    </row>
    <row r="331" spans="1:18" x14ac:dyDescent="0.2">
      <c r="B331" s="581"/>
      <c r="C331" s="15"/>
      <c r="D331" s="579"/>
      <c r="E331" s="212"/>
      <c r="H331" s="579"/>
      <c r="I331"/>
      <c r="L331" s="579"/>
      <c r="M331"/>
      <c r="P331" s="579"/>
      <c r="Q331" s="383" t="s">
        <v>1207</v>
      </c>
    </row>
    <row r="332" spans="1:18" x14ac:dyDescent="0.2">
      <c r="A332" s="10">
        <v>4</v>
      </c>
      <c r="B332" s="581" t="str">
        <f>IF(INDEX('４×＋Ｍ'!$B$3:$K$108,MATCH($A$332,'４×＋Ｍ'!$B$3:$B$108,),MATCH($B$320,'４×＋Ｍ'!$B$2:$K$2,))&lt;&gt;"",INDEX('４×＋Ｍ'!$B$3:$K$108,MATCH($A$332,'４×＋Ｍ'!$B$3:$B$108,),MATCH($B$320,'４×＋Ｍ'!$B$2:$K$2,)),"")</f>
        <v>新居高校</v>
      </c>
      <c r="C332" s="205"/>
      <c r="D332" s="582">
        <v>6</v>
      </c>
      <c r="E332" s="115"/>
      <c r="H332" s="585"/>
      <c r="L332" s="579"/>
      <c r="P332" s="579">
        <v>6</v>
      </c>
      <c r="Q332" s="115"/>
    </row>
    <row r="333" spans="1:18" ht="13.5" customHeight="1" x14ac:dyDescent="0.2">
      <c r="B333" s="581"/>
      <c r="C333" s="205"/>
      <c r="D333" s="582"/>
      <c r="H333" s="585"/>
      <c r="L333" s="579"/>
      <c r="M333"/>
      <c r="P333" s="579"/>
      <c r="Q333" s="152" t="s">
        <v>1208</v>
      </c>
    </row>
    <row r="334" spans="1:18" ht="13.5" customHeight="1" x14ac:dyDescent="0.2">
      <c r="B334" s="15"/>
      <c r="C334" s="15"/>
      <c r="D334" s="14"/>
      <c r="H334" s="149"/>
      <c r="I334" s="149"/>
      <c r="J334" s="354"/>
    </row>
    <row r="335" spans="1:18" ht="13.5" hidden="1" customHeight="1" x14ac:dyDescent="0.2">
      <c r="F335" s="11">
        <v>13</v>
      </c>
      <c r="H335" s="149"/>
    </row>
    <row r="336" spans="1:18" hidden="1" x14ac:dyDescent="0.2">
      <c r="E336" s="10" t="s">
        <v>119</v>
      </c>
      <c r="F336" s="16">
        <f>VLOOKUP(F335,競漕日程!$A$4:$D$45,2)</f>
        <v>0.56666666666666599</v>
      </c>
      <c r="H336" s="364"/>
      <c r="J336" s="16"/>
      <c r="K336" s="110"/>
      <c r="L336" s="151"/>
      <c r="N336" s="16"/>
      <c r="O336" s="110"/>
    </row>
    <row r="337" spans="2:18" hidden="1" x14ac:dyDescent="0.2">
      <c r="B337" s="581" t="e">
        <f>IF(INDEX('４×＋Ｍ'!$B$3:$K$108,MATCH($A$337,'４×＋Ｍ'!$B$3:$B$108,),MATCH($B$320,'４×＋Ｍ'!$B$2:$K$2,))&lt;&gt;"",INDEX('４×＋Ｍ'!$B$3:$K$108,MATCH($A$337,'４×＋Ｍ'!$B$3:$B$108,),MATCH($B$320,'４×＋Ｍ'!$B$2:$K$2,)),"")</f>
        <v>#N/A</v>
      </c>
      <c r="C337" s="205"/>
      <c r="D337" s="582">
        <v>1</v>
      </c>
      <c r="E337" s="113"/>
      <c r="H337" s="582"/>
      <c r="L337" s="579"/>
      <c r="P337" s="10" t="s">
        <v>74</v>
      </c>
    </row>
    <row r="338" spans="2:18" hidden="1" x14ac:dyDescent="0.2">
      <c r="B338" s="581"/>
      <c r="C338" s="205"/>
      <c r="D338" s="582"/>
      <c r="E338" s="111"/>
      <c r="H338" s="582"/>
      <c r="I338"/>
      <c r="L338" s="579"/>
      <c r="M338"/>
      <c r="P338" s="4"/>
      <c r="Q338" s="4">
        <v>45067</v>
      </c>
      <c r="R338" s="11">
        <v>37</v>
      </c>
    </row>
    <row r="339" spans="2:18" hidden="1" x14ac:dyDescent="0.2">
      <c r="B339" s="583" t="e">
        <f>IF(INDEX('４×＋Ｍ'!$B$3:$K$108,MATCH($A$339,'４×＋Ｍ'!$B$3:$B$108,),MATCH($B$320,'４×＋Ｍ'!$B$2:$K$2,))&lt;&gt;"",INDEX('４×＋Ｍ'!$B$3:$K$108,MATCH($A$339,'４×＋Ｍ'!$B$3:$B$108,),MATCH($B$320,'４×＋Ｍ'!$B$2:$K$2,)),"")</f>
        <v>#N/A</v>
      </c>
      <c r="C339" s="15"/>
      <c r="D339" s="579">
        <v>2</v>
      </c>
      <c r="E339" s="112"/>
      <c r="H339" s="579"/>
      <c r="L339" s="579"/>
      <c r="R339" s="16">
        <f>VLOOKUP(R338,競漕日程!$A$4:$D$45,2)</f>
        <v>0.52777777777777801</v>
      </c>
    </row>
    <row r="340" spans="2:18" hidden="1" x14ac:dyDescent="0.2">
      <c r="B340" s="583"/>
      <c r="C340" s="15"/>
      <c r="D340" s="579"/>
      <c r="E340" s="111"/>
      <c r="H340" s="579"/>
      <c r="I340"/>
      <c r="L340" s="579"/>
      <c r="M340"/>
      <c r="P340" s="582">
        <v>1</v>
      </c>
      <c r="Q340" s="113"/>
    </row>
    <row r="341" spans="2:18" hidden="1" x14ac:dyDescent="0.2">
      <c r="B341" s="583" t="e">
        <f>IF(INDEX('４×＋Ｍ'!$B$3:$K$108,MATCH($A$341,'４×＋Ｍ'!$B$3:$B$108,),MATCH($B$320,'４×＋Ｍ'!$B$2:$K$2,))&lt;&gt;"",INDEX('４×＋Ｍ'!$B$3:$K$108,MATCH($A$341,'４×＋Ｍ'!$B$3:$B$108,),MATCH($B$320,'４×＋Ｍ'!$B$2:$K$2,)),"")</f>
        <v>#N/A</v>
      </c>
      <c r="C341" s="15"/>
      <c r="D341" s="579">
        <v>3</v>
      </c>
      <c r="E341" s="112"/>
      <c r="F341" s="351"/>
      <c r="H341" s="579"/>
      <c r="L341" s="579"/>
      <c r="P341" s="582"/>
      <c r="Q341" s="144" t="s">
        <v>445</v>
      </c>
    </row>
    <row r="342" spans="2:18" hidden="1" x14ac:dyDescent="0.2">
      <c r="B342" s="583"/>
      <c r="C342" s="15"/>
      <c r="D342" s="579"/>
      <c r="E342" s="111"/>
      <c r="F342" s="352"/>
      <c r="H342" s="579"/>
      <c r="I342"/>
      <c r="L342" s="579"/>
      <c r="M342"/>
      <c r="P342" s="579">
        <v>2</v>
      </c>
    </row>
    <row r="343" spans="2:18" hidden="1" x14ac:dyDescent="0.2">
      <c r="B343" s="583" t="e">
        <f>IF(INDEX('４×＋Ｍ'!$B$3:$K$108,MATCH($A$343,'４×＋Ｍ'!$B$3:$B$108,),MATCH($B$320,'４×＋Ｍ'!$B$2:$K$2,))&lt;&gt;"",INDEX('４×＋Ｍ'!$B$3:$K$108,MATCH($A$343,'４×＋Ｍ'!$B$3:$B$108,),MATCH($B$320,'４×＋Ｍ'!$B$2:$K$2,)),"")</f>
        <v>#N/A</v>
      </c>
      <c r="C343" s="15"/>
      <c r="D343" s="579">
        <v>4</v>
      </c>
      <c r="E343" s="112"/>
      <c r="H343" s="579"/>
      <c r="L343" s="579"/>
      <c r="P343" s="579"/>
      <c r="Q343" s="144" t="s">
        <v>448</v>
      </c>
    </row>
    <row r="344" spans="2:18" hidden="1" x14ac:dyDescent="0.2">
      <c r="B344" s="583"/>
      <c r="C344" s="15"/>
      <c r="D344" s="579"/>
      <c r="E344" s="111"/>
      <c r="H344" s="579"/>
      <c r="I344"/>
      <c r="L344" s="587"/>
      <c r="M344"/>
      <c r="P344" s="579">
        <v>3</v>
      </c>
      <c r="Q344" s="112"/>
    </row>
    <row r="345" spans="2:18" hidden="1" x14ac:dyDescent="0.2">
      <c r="B345" s="583" t="e">
        <f>IF(INDEX('４×＋Ｍ'!$B$3:$K$108,MATCH($A$345,'４×＋Ｍ'!$B$3:$B$108,),MATCH($B$320,'４×＋Ｍ'!$B$2:$K$2,))&lt;&gt;"",INDEX('４×＋Ｍ'!$B$3:$K$108,MATCH($A$345,'４×＋Ｍ'!$B$3:$B$108,),MATCH($B$320,'４×＋Ｍ'!$B$2:$K$2,)),"")</f>
        <v>#N/A</v>
      </c>
      <c r="C345" s="15"/>
      <c r="D345" s="579">
        <v>5</v>
      </c>
      <c r="E345" s="115"/>
      <c r="H345" s="579"/>
      <c r="L345" s="579"/>
      <c r="P345" s="579"/>
      <c r="Q345" s="152" t="s">
        <v>446</v>
      </c>
      <c r="R345" s="350"/>
    </row>
    <row r="346" spans="2:18" hidden="1" x14ac:dyDescent="0.2">
      <c r="B346" s="583"/>
      <c r="C346" s="15"/>
      <c r="D346" s="579"/>
      <c r="E346" s="114"/>
      <c r="H346" s="579"/>
      <c r="I346"/>
      <c r="L346" s="579"/>
      <c r="M346"/>
      <c r="P346" s="579">
        <v>4</v>
      </c>
      <c r="R346" s="348"/>
    </row>
    <row r="347" spans="2:18" hidden="1" x14ac:dyDescent="0.2">
      <c r="B347" s="583"/>
      <c r="C347" s="205"/>
      <c r="D347" s="585">
        <v>6</v>
      </c>
      <c r="H347" s="585"/>
      <c r="L347" s="579"/>
      <c r="P347" s="579"/>
      <c r="Q347" s="152" t="s">
        <v>447</v>
      </c>
      <c r="R347" s="348"/>
    </row>
    <row r="348" spans="2:18" hidden="1" x14ac:dyDescent="0.2">
      <c r="B348" s="583"/>
      <c r="C348" s="205"/>
      <c r="D348" s="585"/>
      <c r="H348" s="585"/>
      <c r="L348" s="579"/>
      <c r="M348"/>
      <c r="P348" s="579">
        <v>5</v>
      </c>
      <c r="Q348" s="115"/>
    </row>
    <row r="349" spans="2:18" hidden="1" x14ac:dyDescent="0.2">
      <c r="C349" s="15"/>
      <c r="P349" s="579"/>
      <c r="Q349" s="152" t="s">
        <v>449</v>
      </c>
    </row>
    <row r="350" spans="2:18" ht="13.5" hidden="1" customHeight="1" x14ac:dyDescent="0.2">
      <c r="F350" s="11">
        <v>16</v>
      </c>
      <c r="L350" s="580"/>
      <c r="M350" s="580"/>
      <c r="P350" s="14"/>
    </row>
    <row r="351" spans="2:18" ht="13.5" hidden="1" customHeight="1" x14ac:dyDescent="0.2">
      <c r="E351" t="s">
        <v>120</v>
      </c>
      <c r="F351" s="16">
        <v>0.58333333333333337</v>
      </c>
      <c r="N351" s="16"/>
    </row>
    <row r="352" spans="2:18" ht="13.5" hidden="1" customHeight="1" x14ac:dyDescent="0.2">
      <c r="B352" s="581" t="e">
        <f>IF(INDEX('４×＋Ｍ'!$B$3:$K$108,MATCH($A$352,'４×＋Ｍ'!$B$3:$B$108,),MATCH($B$320,'４×＋Ｍ'!$B$2:$K$2,))&lt;&gt;"",INDEX('４×＋Ｍ'!$B$3:$K$108,MATCH($A$352,'４×＋Ｍ'!$B$3:$B$108,),MATCH($B$320,'４×＋Ｍ'!$B$2:$K$2,)),"")</f>
        <v>#N/A</v>
      </c>
      <c r="C352" s="15"/>
      <c r="D352" s="582">
        <v>1</v>
      </c>
      <c r="E352" s="113"/>
      <c r="L352" s="579"/>
    </row>
    <row r="353" spans="2:17" ht="13.5" hidden="1" customHeight="1" x14ac:dyDescent="0.2">
      <c r="B353" s="581"/>
      <c r="C353" s="15"/>
      <c r="D353" s="582"/>
      <c r="E353" s="111"/>
      <c r="L353" s="579"/>
    </row>
    <row r="354" spans="2:17" ht="13.5" hidden="1" customHeight="1" x14ac:dyDescent="0.2">
      <c r="B354" s="583" t="e">
        <f>IF(INDEX('４×＋Ｍ'!$B$3:$K$108,MATCH($A$354,'４×＋Ｍ'!$B$3:$B$108,),MATCH($B$320,'４×＋Ｍ'!$B$2:$K$2,))&lt;&gt;"",INDEX('４×＋Ｍ'!$B$3:$K$108,MATCH($A$354,'４×＋Ｍ'!$B$3:$B$108,),MATCH($B$320,'４×＋Ｍ'!$B$2:$K$2,)),"")</f>
        <v>#N/A</v>
      </c>
      <c r="C354" s="15"/>
      <c r="D354" s="579">
        <v>2</v>
      </c>
      <c r="E354" s="112"/>
      <c r="L354" s="579"/>
    </row>
    <row r="355" spans="2:17" ht="13.5" hidden="1" customHeight="1" x14ac:dyDescent="0.2">
      <c r="B355" s="583"/>
      <c r="C355" s="15"/>
      <c r="D355" s="579"/>
      <c r="E355" s="111"/>
      <c r="L355" s="579"/>
    </row>
    <row r="356" spans="2:17" ht="13.5" hidden="1" customHeight="1" x14ac:dyDescent="0.2">
      <c r="B356" s="583" t="e">
        <f>IF(INDEX('４×＋Ｍ'!$B$3:$K$108,MATCH($A$356,'４×＋Ｍ'!$B$3:$B$108,),MATCH($B$320,'４×＋Ｍ'!$B$2:$K$2,))&lt;&gt;"",INDEX('４×＋Ｍ'!$B$3:$K$108,MATCH($A$356,'４×＋Ｍ'!$B$3:$B$108,),MATCH($B$320,'４×＋Ｍ'!$B$2:$K$2,)),"")</f>
        <v>#N/A</v>
      </c>
      <c r="C356" s="15"/>
      <c r="D356" s="579">
        <v>3</v>
      </c>
      <c r="E356" s="112"/>
      <c r="L356" s="579"/>
    </row>
    <row r="357" spans="2:17" ht="13.5" hidden="1" customHeight="1" x14ac:dyDescent="0.2">
      <c r="B357" s="583"/>
      <c r="C357" s="15"/>
      <c r="D357" s="579"/>
      <c r="E357" s="111"/>
      <c r="F357" s="351"/>
      <c r="L357" s="579"/>
    </row>
    <row r="358" spans="2:17" ht="13.5" hidden="1" customHeight="1" x14ac:dyDescent="0.2">
      <c r="B358" s="583" t="e">
        <f>IF(INDEX('４×＋Ｍ'!$B$3:$K$108,MATCH($A$358,'４×＋Ｍ'!$B$3:$B$108,),MATCH($B$320,'４×＋Ｍ'!$B$2:$K$2,))&lt;&gt;"",INDEX('４×＋Ｍ'!$B$3:$K$1083,MATCH($A$358,'４×＋Ｍ'!$B$3:$B$108,),MATCH($B$320,'４×＋Ｍ'!$B$2:$K$2,)),"")</f>
        <v>#N/A</v>
      </c>
      <c r="C358" s="15"/>
      <c r="D358" s="579">
        <v>4</v>
      </c>
      <c r="E358" s="112"/>
      <c r="F358" s="352"/>
      <c r="L358" s="579"/>
    </row>
    <row r="359" spans="2:17" ht="13.5" hidden="1" customHeight="1" x14ac:dyDescent="0.2">
      <c r="B359" s="583"/>
      <c r="C359" s="15"/>
      <c r="D359" s="579"/>
      <c r="E359" s="111"/>
      <c r="L359" s="579"/>
    </row>
    <row r="360" spans="2:17" ht="13.5" hidden="1" customHeight="1" x14ac:dyDescent="0.2">
      <c r="B360" s="583" t="e">
        <f>IF(INDEX('４×＋Ｍ'!$B$3:$K$108,MATCH($A$360,'４×＋Ｍ'!$B$3:$B$108,),MATCH($B$320,'４×＋Ｍ'!$B$2:$K$2,))&lt;&gt;"",INDEX('４×＋Ｍ'!$B$3:$K$108,MATCH($A$360,'４×＋Ｍ'!$B$3:$B$108,),MATCH($B$320,'４×＋Ｍ'!$B$2:$K$2,)),"")</f>
        <v>#N/A</v>
      </c>
      <c r="C360" s="15"/>
      <c r="D360" s="579">
        <v>5</v>
      </c>
      <c r="E360" s="115"/>
      <c r="L360" s="579"/>
    </row>
    <row r="361" spans="2:17" ht="13.5" hidden="1" customHeight="1" x14ac:dyDescent="0.2">
      <c r="B361" s="583"/>
      <c r="C361" s="15"/>
      <c r="D361" s="579"/>
      <c r="E361" s="111"/>
      <c r="L361" s="579"/>
    </row>
    <row r="362" spans="2:17" ht="13.5" hidden="1" customHeight="1" x14ac:dyDescent="0.2">
      <c r="B362" s="581" t="e">
        <f>IF(INDEX('４×＋Ｍ'!$B$3:$K$108,MATCH($A$362,'４×＋Ｍ'!$B$3:$B$108,),MATCH($B$320,'４×＋Ｍ'!$B$2:$K$2,))&lt;&gt;"",INDEX('４×＋Ｍ'!$B$3:$K$108,MATCH($A$362,'４×＋Ｍ'!$B$3:$B$108,),MATCH($B$320,'４×＋Ｍ'!$B$2:$K$2,)),"")</f>
        <v>#N/A</v>
      </c>
      <c r="C362" s="15"/>
      <c r="D362" s="582">
        <v>6</v>
      </c>
      <c r="E362" s="115"/>
      <c r="L362" s="579"/>
    </row>
    <row r="363" spans="2:17" ht="13.5" hidden="1" customHeight="1" x14ac:dyDescent="0.2">
      <c r="B363" s="581"/>
      <c r="C363" s="15"/>
      <c r="D363" s="582"/>
      <c r="J363" s="235"/>
      <c r="L363" s="579"/>
    </row>
    <row r="364" spans="2:17" hidden="1" x14ac:dyDescent="0.2">
      <c r="B364" s="15"/>
      <c r="C364" s="15"/>
      <c r="D364" s="14"/>
      <c r="H364" s="14"/>
      <c r="L364" s="14"/>
    </row>
    <row r="365" spans="2:17" x14ac:dyDescent="0.2">
      <c r="B365" s="6" t="s">
        <v>331</v>
      </c>
      <c r="C365" s="15"/>
      <c r="D365" s="14"/>
      <c r="H365" s="14"/>
      <c r="L365" s="14"/>
    </row>
    <row r="366" spans="2:17" x14ac:dyDescent="0.2">
      <c r="B366" s="3" t="s">
        <v>345</v>
      </c>
      <c r="C366" s="3"/>
      <c r="D366" s="10"/>
      <c r="H366" s="235"/>
      <c r="I366" s="6" t="s">
        <v>1126</v>
      </c>
      <c r="N366" s="235"/>
      <c r="O366" s="3"/>
    </row>
    <row r="367" spans="2:17" x14ac:dyDescent="0.2">
      <c r="B367" s="3"/>
      <c r="C367" s="3"/>
      <c r="D367" s="10"/>
    </row>
    <row r="368" spans="2:17" x14ac:dyDescent="0.2">
      <c r="E368" t="s">
        <v>333</v>
      </c>
      <c r="H368" s="185"/>
      <c r="I368" s="186" t="s">
        <v>73</v>
      </c>
      <c r="J368" s="185"/>
      <c r="P368" s="10" t="s">
        <v>74</v>
      </c>
      <c r="Q368" s="4"/>
    </row>
    <row r="369" spans="1:18" x14ac:dyDescent="0.2">
      <c r="B369" s="10" t="s">
        <v>335</v>
      </c>
      <c r="D369" s="11" t="s">
        <v>340</v>
      </c>
      <c r="E369" s="4">
        <v>45073</v>
      </c>
      <c r="F369" s="11">
        <v>21</v>
      </c>
      <c r="H369" s="185" t="s">
        <v>337</v>
      </c>
      <c r="I369" s="187">
        <v>42148</v>
      </c>
      <c r="J369" s="185">
        <v>38</v>
      </c>
      <c r="K369" s="110"/>
      <c r="M369" s="4"/>
      <c r="P369" s="4"/>
      <c r="Q369" s="4">
        <v>45074</v>
      </c>
      <c r="R369" s="11">
        <v>37</v>
      </c>
    </row>
    <row r="370" spans="1:18" x14ac:dyDescent="0.2">
      <c r="F370" s="16">
        <f>VLOOKUP(F369,競漕日程!$A$4:$D$45,2)</f>
        <v>0.66388888888888897</v>
      </c>
      <c r="H370" s="185"/>
      <c r="I370" s="186"/>
      <c r="J370" s="355">
        <v>0.42499999999999999</v>
      </c>
      <c r="N370" s="16"/>
      <c r="R370" s="16">
        <f>VLOOKUP(R369,競漕日程!$A$4:$D$45,2)</f>
        <v>0.52777777777777801</v>
      </c>
    </row>
    <row r="371" spans="1:18" hidden="1" x14ac:dyDescent="0.2">
      <c r="B371" s="583" t="e">
        <f>IF(INDEX('４×＋Ｗ'!$B$3:$K$108,MATCH($A$371,'４×＋Ｗ'!$B$3:$B$108,),MATCH($B$320,'４×＋Ｗ'!$B$2:$K$2,))&lt;&gt;"",INDEX('４×＋Ｗ'!$B$3:$K$108,MATCH($A$371,'４×＋Ｗ'!$B$3:$B$108,),MATCH($B$320,'４×＋Ｗ'!$B$2:$K$2,)),"")</f>
        <v>#N/A</v>
      </c>
      <c r="C371" s="15"/>
      <c r="D371" s="582">
        <v>1</v>
      </c>
      <c r="E371" s="113"/>
      <c r="H371" s="579"/>
      <c r="L371" s="579"/>
      <c r="P371" s="579">
        <v>1</v>
      </c>
    </row>
    <row r="372" spans="1:18" hidden="1" x14ac:dyDescent="0.2">
      <c r="B372" s="583"/>
      <c r="C372" s="15"/>
      <c r="D372" s="582"/>
      <c r="E372" s="111"/>
      <c r="F372" s="348"/>
      <c r="H372" s="579"/>
      <c r="L372" s="579"/>
      <c r="P372" s="579"/>
      <c r="Q372" s="144" t="s">
        <v>1142</v>
      </c>
    </row>
    <row r="373" spans="1:18" x14ac:dyDescent="0.2">
      <c r="A373" s="10">
        <v>2</v>
      </c>
      <c r="B373" s="583" t="str">
        <f>IF(INDEX('４×＋Ｗ'!$B$3:$K$83,MATCH($A$373,'４×＋Ｗ'!$B$3:$B$83,),MATCH($B$320,'４×＋Ｗ'!$B$2:$K$2,))&lt;&gt;"",INDEX('４×＋Ｗ'!$B$3:$K$83,MATCH($A$373,'４×＋Ｗ'!$B$3:$B$83,),MATCH($B$320,'４×＋Ｗ'!$B$2:$K$2,)),"")</f>
        <v>浜松湖南高校B</v>
      </c>
      <c r="C373" s="15"/>
      <c r="D373" s="579">
        <v>2</v>
      </c>
      <c r="E373" s="113"/>
      <c r="F373" s="16"/>
      <c r="H373" s="579"/>
      <c r="L373" s="579"/>
      <c r="P373" s="579">
        <v>2</v>
      </c>
    </row>
    <row r="374" spans="1:18" x14ac:dyDescent="0.2">
      <c r="B374" s="583"/>
      <c r="C374" s="15"/>
      <c r="D374" s="579"/>
      <c r="E374" s="144"/>
      <c r="F374" s="348"/>
      <c r="H374" s="579"/>
      <c r="L374" s="579"/>
      <c r="P374" s="579"/>
      <c r="Q374" s="152" t="s">
        <v>1203</v>
      </c>
      <c r="R374" s="348"/>
    </row>
    <row r="375" spans="1:18" x14ac:dyDescent="0.2">
      <c r="A375" s="10">
        <v>3</v>
      </c>
      <c r="B375" s="583" t="str">
        <f>IF(INDEX('４×＋Ｗ'!$B$3:$K$83,MATCH($A$375,'４×＋Ｗ'!$B$3:$B$83,),MATCH($B$320,'４×＋Ｗ'!$B$2:$K$2,))&lt;&gt;"",INDEX('４×＋Ｗ'!$B$3:$K$83,MATCH($A$375,'４×＋Ｗ'!$B$3:$B$83,),MATCH($B$320,'４×＋Ｗ'!$B$2:$K$2,)),"")</f>
        <v>沼津東高校A</v>
      </c>
      <c r="C375" s="15"/>
      <c r="D375" s="579">
        <v>3</v>
      </c>
      <c r="E375" s="112"/>
      <c r="F375" s="348"/>
      <c r="H375" s="579"/>
      <c r="L375" s="579"/>
      <c r="P375" s="579">
        <v>3</v>
      </c>
      <c r="Q375" s="112"/>
      <c r="R375" s="348"/>
    </row>
    <row r="376" spans="1:18" x14ac:dyDescent="0.2">
      <c r="B376" s="583"/>
      <c r="C376" s="15"/>
      <c r="D376" s="579"/>
      <c r="E376" s="152"/>
      <c r="F376" s="348"/>
      <c r="H376" s="579"/>
      <c r="L376" s="579"/>
      <c r="P376" s="579"/>
      <c r="Q376" s="144" t="s">
        <v>1125</v>
      </c>
      <c r="R376" s="350"/>
    </row>
    <row r="377" spans="1:18" ht="13.5" customHeight="1" x14ac:dyDescent="0.2">
      <c r="A377" s="10">
        <v>1</v>
      </c>
      <c r="B377" s="581" t="str">
        <f>IF(INDEX('４×＋Ｗ'!$B$3:$K$83,MATCH($A$377,'４×＋Ｗ'!$B$3:$B$83,),MATCH($B$320,'４×＋Ｗ'!$B$2:$K$2,))&lt;&gt;"",INDEX('４×＋Ｗ'!$B$3:$K$83,MATCH($A$377,'４×＋Ｗ'!$B$3:$B$83,),MATCH($B$320,'４×＋Ｗ'!$B$2:$K$2,)),"")</f>
        <v>浜松湖南高校A</v>
      </c>
      <c r="C377"/>
      <c r="D377" s="579">
        <v>4</v>
      </c>
      <c r="E377" s="115"/>
      <c r="F377" s="348"/>
      <c r="I377" s="4"/>
      <c r="M377" s="4"/>
      <c r="P377" s="579">
        <v>4</v>
      </c>
      <c r="Q377" s="115"/>
      <c r="R377" s="348"/>
    </row>
    <row r="378" spans="1:18" x14ac:dyDescent="0.2">
      <c r="B378" s="581"/>
      <c r="C378"/>
      <c r="D378" s="579"/>
      <c r="E378" s="146"/>
      <c r="J378" s="16"/>
      <c r="N378" s="16"/>
      <c r="P378" s="587"/>
      <c r="Q378" s="152" t="s">
        <v>1127</v>
      </c>
      <c r="R378" s="348"/>
    </row>
    <row r="379" spans="1:18" ht="13" customHeight="1" x14ac:dyDescent="0.2">
      <c r="A379" s="10">
        <v>4</v>
      </c>
      <c r="B379" s="581" t="str">
        <f>IF(INDEX('４×＋Ｗ'!$B$3:$K$83,MATCH($A$379,'４×＋Ｗ'!$B$3:$B$83,),MATCH($B$320,'４×＋Ｗ'!$B$2:$K$2,))&lt;&gt;"",INDEX('４×＋Ｗ'!$B$3:$K$83,MATCH($A$379,'４×＋Ｗ'!$B$3:$B$83,),MATCH($B$320,'４×＋Ｗ'!$B$2:$K$2,)),"")</f>
        <v>沼津東高校B</v>
      </c>
      <c r="C379" s="205"/>
      <c r="D379" s="579">
        <v>5</v>
      </c>
      <c r="E379" s="115"/>
      <c r="F379" s="348"/>
      <c r="H379" s="579"/>
      <c r="K379" s="110"/>
      <c r="L379" s="579"/>
      <c r="P379" s="579">
        <v>5</v>
      </c>
      <c r="Q379" s="115"/>
    </row>
    <row r="380" spans="1:18" ht="13" customHeight="1" x14ac:dyDescent="0.2">
      <c r="B380" s="581"/>
      <c r="C380" s="205"/>
      <c r="D380" s="579"/>
      <c r="E380"/>
      <c r="H380" s="579"/>
      <c r="L380" s="579"/>
      <c r="P380" s="579"/>
      <c r="Q380" s="152" t="s">
        <v>1129</v>
      </c>
    </row>
    <row r="381" spans="1:18" ht="13.5" customHeight="1" x14ac:dyDescent="0.2">
      <c r="H381" s="14"/>
      <c r="P381" s="579"/>
      <c r="Q381" s="113"/>
    </row>
    <row r="382" spans="1:18" hidden="1" x14ac:dyDescent="0.2">
      <c r="F382" s="11">
        <v>17</v>
      </c>
      <c r="P382" s="579"/>
      <c r="Q382" s="152" t="s">
        <v>1143</v>
      </c>
    </row>
    <row r="383" spans="1:18" hidden="1" x14ac:dyDescent="0.2">
      <c r="F383" s="16">
        <v>0.58888888888888891</v>
      </c>
    </row>
    <row r="384" spans="1:18" hidden="1" x14ac:dyDescent="0.2">
      <c r="B384" s="589" t="e">
        <f>IF(INDEX('４×＋Ｗ'!$B$3:$K$108,MATCH(#REF!,'４×＋Ｗ'!$B$3:$B$108,),MATCH($B$320,'４×＋Ｗ'!$B$2:$K$2,))&lt;&gt;"",INDEX('４×＋Ｗ'!$B$3:$K$108,MATCH(#REF!,'４×＋Ｗ'!$B$3:$B$108,),MATCH($B$320,'４×＋Ｗ'!$B$2:$K$2,)),"")</f>
        <v>#REF!</v>
      </c>
      <c r="C384" s="15"/>
      <c r="D384" s="586">
        <v>1</v>
      </c>
    </row>
    <row r="385" spans="2:6" hidden="1" x14ac:dyDescent="0.2">
      <c r="B385" s="589"/>
      <c r="C385" s="15"/>
      <c r="D385" s="586"/>
    </row>
    <row r="386" spans="2:6" hidden="1" x14ac:dyDescent="0.2">
      <c r="B386" s="583" t="e">
        <f>IF(INDEX('４×＋Ｗ'!$B$3:$K$108,MATCH($A$386,'４×＋Ｗ'!$B$3:$B$108,),MATCH($B$320,'４×＋Ｗ'!$B$2:$K$2,))&lt;&gt;"",INDEX('４×＋Ｗ'!$B$3:$K$108,MATCH($A$386,'４×＋Ｗ'!$B$3:$B$108,),MATCH($B$320,'４×＋Ｗ'!$B$2:$K$2,)),"")</f>
        <v>#N/A</v>
      </c>
      <c r="C386" s="15"/>
      <c r="D386" s="579">
        <v>2</v>
      </c>
      <c r="E386" s="113"/>
    </row>
    <row r="387" spans="2:6" hidden="1" x14ac:dyDescent="0.2">
      <c r="B387" s="583"/>
      <c r="C387" s="15"/>
      <c r="D387" s="579"/>
      <c r="E387" s="111"/>
    </row>
    <row r="388" spans="2:6" hidden="1" x14ac:dyDescent="0.2">
      <c r="B388" s="583" t="e">
        <f>IF(INDEX('４×＋Ｗ'!$B$3:$K$83,MATCH($A$388,'４×＋Ｗ'!$B$3:$B$83,),MATCH($B$320,'４×＋Ｗ'!$B$2:$K$2,))&lt;&gt;"",INDEX('４×＋Ｗ'!$B$3:$K$83,MATCH($A$388,'４×＋Ｗ'!$B$3:$B$83,),MATCH($B$320,'４×＋Ｗ'!$B$2:$K$2,)),"")</f>
        <v>#N/A</v>
      </c>
      <c r="C388" s="15"/>
      <c r="D388" s="579">
        <v>3</v>
      </c>
      <c r="E388" s="112"/>
      <c r="F388" s="353"/>
    </row>
    <row r="389" spans="2:6" hidden="1" x14ac:dyDescent="0.2">
      <c r="B389" s="583"/>
      <c r="C389" s="15"/>
      <c r="D389" s="579"/>
      <c r="E389" s="111"/>
      <c r="F389" s="350"/>
    </row>
    <row r="390" spans="2:6" hidden="1" x14ac:dyDescent="0.2">
      <c r="B390" s="583" t="e">
        <f>IF(INDEX('４×＋Ｗ'!$B$3:$K$83,MATCH($A$390,'４×＋Ｗ'!$B$3:$B$83,),MATCH($B$320,'４×＋Ｗ'!$B$2:$K$2,))&lt;&gt;"",INDEX('４×＋Ｗ'!$B$3:$K$83,MATCH($A$390,'４×＋Ｗ'!$B$3:$B$83,),MATCH($B$320,'４×＋Ｗ'!$B$2:$K$2,)),"")</f>
        <v>#N/A</v>
      </c>
      <c r="C390" s="15"/>
      <c r="D390" s="579">
        <v>4</v>
      </c>
      <c r="E390" s="112"/>
      <c r="F390" s="348"/>
    </row>
    <row r="391" spans="2:6" hidden="1" x14ac:dyDescent="0.2">
      <c r="B391" s="583"/>
      <c r="C391" s="15"/>
      <c r="D391" s="579"/>
      <c r="E391" s="114"/>
    </row>
    <row r="392" spans="2:6" hidden="1" x14ac:dyDescent="0.2">
      <c r="B392" s="589" t="e">
        <f>IF(INDEX('４×＋Ｗ'!$B$3:$K$83,MATCH($A$392,'４×＋Ｗ'!$B$3:$B$83,),MATCH($B$320,'４×＋Ｗ'!$B$2:$K$2,))&lt;&gt;"",INDEX('４×＋Ｗ'!$B$3:$K$83,MATCH($A$392,'４×＋Ｗ'!$B$3:$B$83,),MATCH($B$320,'４×＋Ｗ'!$B$2:$K$2,)),"")</f>
        <v>#N/A</v>
      </c>
      <c r="D392" s="579"/>
    </row>
    <row r="393" spans="2:6" hidden="1" x14ac:dyDescent="0.2">
      <c r="B393" s="589"/>
      <c r="D393" s="579"/>
    </row>
    <row r="394" spans="2:6" hidden="1" x14ac:dyDescent="0.2">
      <c r="B394" s="589" t="str">
        <f>IF(INDEX('４×＋Ｗ'!$B$3:$K$83,MATCH($A$379,'４×＋Ｗ'!$B$3:$B$83,),MATCH($B$320,'４×＋Ｗ'!$B$2:$K$2,))&lt;&gt;"",INDEX('４×＋Ｗ'!$B$3:$K$83,MATCH($A$379,'４×＋Ｗ'!$B$3:$B$83,),MATCH($B$320,'４×＋Ｗ'!$B$2:$K$2,)),"")</f>
        <v>沼津東高校B</v>
      </c>
      <c r="C394" s="15"/>
      <c r="D394" s="586"/>
    </row>
    <row r="395" spans="2:6" hidden="1" x14ac:dyDescent="0.2">
      <c r="B395" s="589"/>
      <c r="C395" s="15"/>
      <c r="D395" s="586"/>
    </row>
  </sheetData>
  <mergeCells count="602">
    <mergeCell ref="P131:P132"/>
    <mergeCell ref="P141:P142"/>
    <mergeCell ref="P274:P275"/>
    <mergeCell ref="P276:P277"/>
    <mergeCell ref="P278:P279"/>
    <mergeCell ref="P7:P8"/>
    <mergeCell ref="P9:P10"/>
    <mergeCell ref="P11:P12"/>
    <mergeCell ref="P13:P14"/>
    <mergeCell ref="P15:P16"/>
    <mergeCell ref="P17:P18"/>
    <mergeCell ref="P247:P248"/>
    <mergeCell ref="P249:P250"/>
    <mergeCell ref="P133:P134"/>
    <mergeCell ref="P135:P136"/>
    <mergeCell ref="P137:P138"/>
    <mergeCell ref="P139:P140"/>
    <mergeCell ref="B122:B123"/>
    <mergeCell ref="C122:C123"/>
    <mergeCell ref="D122:D123"/>
    <mergeCell ref="H116:H117"/>
    <mergeCell ref="L116:L117"/>
    <mergeCell ref="B118:B119"/>
    <mergeCell ref="C118:C119"/>
    <mergeCell ref="D118:D119"/>
    <mergeCell ref="H118:H119"/>
    <mergeCell ref="L118:L119"/>
    <mergeCell ref="B392:B393"/>
    <mergeCell ref="D392:D393"/>
    <mergeCell ref="H379:H380"/>
    <mergeCell ref="L379:L380"/>
    <mergeCell ref="L358:L359"/>
    <mergeCell ref="L360:L361"/>
    <mergeCell ref="L354:L355"/>
    <mergeCell ref="L356:L357"/>
    <mergeCell ref="B347:B348"/>
    <mergeCell ref="D347:D348"/>
    <mergeCell ref="H347:H348"/>
    <mergeCell ref="L347:L348"/>
    <mergeCell ref="L350:M350"/>
    <mergeCell ref="B352:B353"/>
    <mergeCell ref="D352:D353"/>
    <mergeCell ref="L352:L353"/>
    <mergeCell ref="B394:B395"/>
    <mergeCell ref="D394:D395"/>
    <mergeCell ref="B112:B113"/>
    <mergeCell ref="C112:C113"/>
    <mergeCell ref="D112:D113"/>
    <mergeCell ref="B116:B117"/>
    <mergeCell ref="C116:C117"/>
    <mergeCell ref="D116:D117"/>
    <mergeCell ref="B386:B387"/>
    <mergeCell ref="D386:D387"/>
    <mergeCell ref="B388:B389"/>
    <mergeCell ref="D388:D389"/>
    <mergeCell ref="B390:B391"/>
    <mergeCell ref="D390:D391"/>
    <mergeCell ref="B379:B380"/>
    <mergeCell ref="D379:D380"/>
    <mergeCell ref="B358:B359"/>
    <mergeCell ref="D358:D359"/>
    <mergeCell ref="B360:B361"/>
    <mergeCell ref="D360:D361"/>
    <mergeCell ref="B354:B355"/>
    <mergeCell ref="D354:D355"/>
    <mergeCell ref="B356:B357"/>
    <mergeCell ref="D356:D357"/>
    <mergeCell ref="B384:B385"/>
    <mergeCell ref="D384:D385"/>
    <mergeCell ref="B375:B376"/>
    <mergeCell ref="D375:D376"/>
    <mergeCell ref="H375:H376"/>
    <mergeCell ref="L375:L376"/>
    <mergeCell ref="P344:P345"/>
    <mergeCell ref="B377:B378"/>
    <mergeCell ref="D377:D378"/>
    <mergeCell ref="P346:P347"/>
    <mergeCell ref="P371:P372"/>
    <mergeCell ref="P373:P374"/>
    <mergeCell ref="P375:P376"/>
    <mergeCell ref="P377:P378"/>
    <mergeCell ref="P379:P380"/>
    <mergeCell ref="P381:P382"/>
    <mergeCell ref="B373:B374"/>
    <mergeCell ref="D373:D374"/>
    <mergeCell ref="H373:H374"/>
    <mergeCell ref="L373:L374"/>
    <mergeCell ref="P342:P343"/>
    <mergeCell ref="B362:B363"/>
    <mergeCell ref="D362:D363"/>
    <mergeCell ref="L362:L363"/>
    <mergeCell ref="B371:B372"/>
    <mergeCell ref="D371:D372"/>
    <mergeCell ref="H371:H372"/>
    <mergeCell ref="L371:L372"/>
    <mergeCell ref="D343:D344"/>
    <mergeCell ref="H343:H344"/>
    <mergeCell ref="L343:L344"/>
    <mergeCell ref="P348:P349"/>
    <mergeCell ref="B345:B346"/>
    <mergeCell ref="D345:D346"/>
    <mergeCell ref="H345:H346"/>
    <mergeCell ref="L345:L346"/>
    <mergeCell ref="B339:B340"/>
    <mergeCell ref="D339:D340"/>
    <mergeCell ref="H339:H340"/>
    <mergeCell ref="L339:L340"/>
    <mergeCell ref="P340:P341"/>
    <mergeCell ref="B341:B342"/>
    <mergeCell ref="D341:D342"/>
    <mergeCell ref="H341:H342"/>
    <mergeCell ref="L341:L342"/>
    <mergeCell ref="P310:P311"/>
    <mergeCell ref="B343:B344"/>
    <mergeCell ref="P322:P323"/>
    <mergeCell ref="P324:P325"/>
    <mergeCell ref="P326:P327"/>
    <mergeCell ref="P328:P329"/>
    <mergeCell ref="P330:P331"/>
    <mergeCell ref="P312:P313"/>
    <mergeCell ref="B337:B338"/>
    <mergeCell ref="D337:D338"/>
    <mergeCell ref="H337:H338"/>
    <mergeCell ref="L337:L338"/>
    <mergeCell ref="P306:P307"/>
    <mergeCell ref="B330:B331"/>
    <mergeCell ref="D330:D331"/>
    <mergeCell ref="H330:H331"/>
    <mergeCell ref="L330:L331"/>
    <mergeCell ref="P308:P309"/>
    <mergeCell ref="B332:B333"/>
    <mergeCell ref="D332:D333"/>
    <mergeCell ref="H332:H333"/>
    <mergeCell ref="L332:L333"/>
    <mergeCell ref="P301:P302"/>
    <mergeCell ref="P332:P333"/>
    <mergeCell ref="B326:B327"/>
    <mergeCell ref="D326:D327"/>
    <mergeCell ref="H326:H327"/>
    <mergeCell ref="L326:L327"/>
    <mergeCell ref="P304:Q304"/>
    <mergeCell ref="P295:P296"/>
    <mergeCell ref="B328:B329"/>
    <mergeCell ref="D328:D329"/>
    <mergeCell ref="H328:H329"/>
    <mergeCell ref="L328:L329"/>
    <mergeCell ref="P297:P298"/>
    <mergeCell ref="B322:B323"/>
    <mergeCell ref="D322:D323"/>
    <mergeCell ref="H322:H323"/>
    <mergeCell ref="L322:L323"/>
    <mergeCell ref="L299:L300"/>
    <mergeCell ref="P299:P300"/>
    <mergeCell ref="P291:P292"/>
    <mergeCell ref="B324:B325"/>
    <mergeCell ref="D324:D325"/>
    <mergeCell ref="H324:H325"/>
    <mergeCell ref="L324:L325"/>
    <mergeCell ref="P293:P294"/>
    <mergeCell ref="B310:B311"/>
    <mergeCell ref="D310:D311"/>
    <mergeCell ref="B312:B313"/>
    <mergeCell ref="D312:D313"/>
    <mergeCell ref="B314:B315"/>
    <mergeCell ref="D314:D315"/>
    <mergeCell ref="B304:B305"/>
    <mergeCell ref="D304:D305"/>
    <mergeCell ref="B306:B307"/>
    <mergeCell ref="D306:D307"/>
    <mergeCell ref="B308:B309"/>
    <mergeCell ref="D308:D309"/>
    <mergeCell ref="B297:B298"/>
    <mergeCell ref="D297:D298"/>
    <mergeCell ref="H297:H298"/>
    <mergeCell ref="L297:L298"/>
    <mergeCell ref="B299:B300"/>
    <mergeCell ref="D299:D300"/>
    <mergeCell ref="B293:B294"/>
    <mergeCell ref="D293:D294"/>
    <mergeCell ref="H293:H294"/>
    <mergeCell ref="L293:L294"/>
    <mergeCell ref="B295:B296"/>
    <mergeCell ref="D295:D296"/>
    <mergeCell ref="H295:H296"/>
    <mergeCell ref="L295:L296"/>
    <mergeCell ref="H287:I287"/>
    <mergeCell ref="B289:B290"/>
    <mergeCell ref="D289:D290"/>
    <mergeCell ref="H289:H290"/>
    <mergeCell ref="L289:L290"/>
    <mergeCell ref="B291:B292"/>
    <mergeCell ref="D291:D292"/>
    <mergeCell ref="H291:H292"/>
    <mergeCell ref="L291:L292"/>
    <mergeCell ref="B282:B283"/>
    <mergeCell ref="D282:D283"/>
    <mergeCell ref="H282:H283"/>
    <mergeCell ref="L282:L283"/>
    <mergeCell ref="P251:P252"/>
    <mergeCell ref="B284:B285"/>
    <mergeCell ref="D284:D285"/>
    <mergeCell ref="H284:H285"/>
    <mergeCell ref="L284:L285"/>
    <mergeCell ref="P253:P254"/>
    <mergeCell ref="P280:P281"/>
    <mergeCell ref="P282:P283"/>
    <mergeCell ref="P284:P285"/>
    <mergeCell ref="B278:B279"/>
    <mergeCell ref="D278:D279"/>
    <mergeCell ref="H278:H279"/>
    <mergeCell ref="L278:L279"/>
    <mergeCell ref="B280:B281"/>
    <mergeCell ref="D280:D281"/>
    <mergeCell ref="H280:H281"/>
    <mergeCell ref="L280:L281"/>
    <mergeCell ref="B274:B275"/>
    <mergeCell ref="D274:D275"/>
    <mergeCell ref="H274:H275"/>
    <mergeCell ref="L274:L275"/>
    <mergeCell ref="P243:P244"/>
    <mergeCell ref="B276:B277"/>
    <mergeCell ref="D276:D277"/>
    <mergeCell ref="H276:H277"/>
    <mergeCell ref="L276:L277"/>
    <mergeCell ref="P245:P246"/>
    <mergeCell ref="B261:B262"/>
    <mergeCell ref="D261:D262"/>
    <mergeCell ref="B263:B264"/>
    <mergeCell ref="D263:D264"/>
    <mergeCell ref="B265:B266"/>
    <mergeCell ref="D265:D266"/>
    <mergeCell ref="B255:B256"/>
    <mergeCell ref="D255:D256"/>
    <mergeCell ref="B257:B258"/>
    <mergeCell ref="D257:D258"/>
    <mergeCell ref="B259:B260"/>
    <mergeCell ref="D259:D260"/>
    <mergeCell ref="B235:B236"/>
    <mergeCell ref="B229:B230"/>
    <mergeCell ref="B231:B232"/>
    <mergeCell ref="B246:B247"/>
    <mergeCell ref="D246:D247"/>
    <mergeCell ref="B248:B249"/>
    <mergeCell ref="D248:D249"/>
    <mergeCell ref="B250:B251"/>
    <mergeCell ref="D250:D251"/>
    <mergeCell ref="B240:B241"/>
    <mergeCell ref="D240:D241"/>
    <mergeCell ref="B242:B243"/>
    <mergeCell ref="D242:D243"/>
    <mergeCell ref="B244:B245"/>
    <mergeCell ref="D244:D245"/>
    <mergeCell ref="B214:B215"/>
    <mergeCell ref="B216:B217"/>
    <mergeCell ref="B210:B211"/>
    <mergeCell ref="B212:B213"/>
    <mergeCell ref="B225:B226"/>
    <mergeCell ref="B227:B228"/>
    <mergeCell ref="B218:B219"/>
    <mergeCell ref="B220:B221"/>
    <mergeCell ref="B233:B234"/>
    <mergeCell ref="B201:B202"/>
    <mergeCell ref="D201:D202"/>
    <mergeCell ref="B195:B196"/>
    <mergeCell ref="D195:D196"/>
    <mergeCell ref="B197:B198"/>
    <mergeCell ref="D197:D198"/>
    <mergeCell ref="B203:B204"/>
    <mergeCell ref="D203:D204"/>
    <mergeCell ref="B205:B206"/>
    <mergeCell ref="D205:D206"/>
    <mergeCell ref="B199:B200"/>
    <mergeCell ref="D199:D200"/>
    <mergeCell ref="B182:B183"/>
    <mergeCell ref="D182:D183"/>
    <mergeCell ref="B184:B185"/>
    <mergeCell ref="D184:D185"/>
    <mergeCell ref="B190:B191"/>
    <mergeCell ref="D190:D191"/>
    <mergeCell ref="B186:B187"/>
    <mergeCell ref="D186:D187"/>
    <mergeCell ref="B188:B189"/>
    <mergeCell ref="D188:D189"/>
    <mergeCell ref="B180:B181"/>
    <mergeCell ref="D180:D181"/>
    <mergeCell ref="B169:B170"/>
    <mergeCell ref="D169:D170"/>
    <mergeCell ref="H169:H170"/>
    <mergeCell ref="L169:L170"/>
    <mergeCell ref="B171:B172"/>
    <mergeCell ref="D171:D172"/>
    <mergeCell ref="H171:H172"/>
    <mergeCell ref="L171:L172"/>
    <mergeCell ref="C169:C170"/>
    <mergeCell ref="C171:C172"/>
    <mergeCell ref="B165:B166"/>
    <mergeCell ref="D165:D166"/>
    <mergeCell ref="H165:H166"/>
    <mergeCell ref="L165:L166"/>
    <mergeCell ref="B167:B168"/>
    <mergeCell ref="D167:D168"/>
    <mergeCell ref="H167:H168"/>
    <mergeCell ref="L167:L168"/>
    <mergeCell ref="B161:B162"/>
    <mergeCell ref="D161:D162"/>
    <mergeCell ref="H161:H162"/>
    <mergeCell ref="L161:L162"/>
    <mergeCell ref="B163:B164"/>
    <mergeCell ref="D163:D164"/>
    <mergeCell ref="H163:H164"/>
    <mergeCell ref="L163:L164"/>
    <mergeCell ref="C161:C162"/>
    <mergeCell ref="C163:C164"/>
    <mergeCell ref="C165:C166"/>
    <mergeCell ref="C167:C168"/>
    <mergeCell ref="B154:B155"/>
    <mergeCell ref="D154:D155"/>
    <mergeCell ref="H154:H155"/>
    <mergeCell ref="L154:L155"/>
    <mergeCell ref="B156:B157"/>
    <mergeCell ref="D156:D157"/>
    <mergeCell ref="H156:H157"/>
    <mergeCell ref="L156:L157"/>
    <mergeCell ref="B150:B151"/>
    <mergeCell ref="D150:D151"/>
    <mergeCell ref="H150:H151"/>
    <mergeCell ref="L150:L151"/>
    <mergeCell ref="C154:C155"/>
    <mergeCell ref="C156:C157"/>
    <mergeCell ref="B152:B153"/>
    <mergeCell ref="D152:D153"/>
    <mergeCell ref="H152:H153"/>
    <mergeCell ref="L152:L153"/>
    <mergeCell ref="C150:C151"/>
    <mergeCell ref="C152:C153"/>
    <mergeCell ref="B146:B147"/>
    <mergeCell ref="D146:D147"/>
    <mergeCell ref="H146:H147"/>
    <mergeCell ref="L146:L147"/>
    <mergeCell ref="B148:B149"/>
    <mergeCell ref="D148:D149"/>
    <mergeCell ref="H148:H149"/>
    <mergeCell ref="L148:L149"/>
    <mergeCell ref="C146:C147"/>
    <mergeCell ref="C148:C149"/>
    <mergeCell ref="L144:M144"/>
    <mergeCell ref="B133:B134"/>
    <mergeCell ref="D133:D134"/>
    <mergeCell ref="H133:H134"/>
    <mergeCell ref="L133:L134"/>
    <mergeCell ref="B135:B136"/>
    <mergeCell ref="D135:D136"/>
    <mergeCell ref="H135:H136"/>
    <mergeCell ref="L135:L136"/>
    <mergeCell ref="B141:B142"/>
    <mergeCell ref="D141:D142"/>
    <mergeCell ref="H141:H142"/>
    <mergeCell ref="L141:L142"/>
    <mergeCell ref="B137:B138"/>
    <mergeCell ref="D137:D138"/>
    <mergeCell ref="H137:H138"/>
    <mergeCell ref="L137:L138"/>
    <mergeCell ref="B139:B140"/>
    <mergeCell ref="D139:D140"/>
    <mergeCell ref="H139:H140"/>
    <mergeCell ref="L139:L140"/>
    <mergeCell ref="C137:C138"/>
    <mergeCell ref="C139:C140"/>
    <mergeCell ref="C141:C142"/>
    <mergeCell ref="B131:B132"/>
    <mergeCell ref="D131:D132"/>
    <mergeCell ref="H131:H132"/>
    <mergeCell ref="L131:L132"/>
    <mergeCell ref="B105:B106"/>
    <mergeCell ref="C105:C106"/>
    <mergeCell ref="D105:D106"/>
    <mergeCell ref="H105:H106"/>
    <mergeCell ref="L105:L106"/>
    <mergeCell ref="B107:B108"/>
    <mergeCell ref="C107:C108"/>
    <mergeCell ref="D107:D108"/>
    <mergeCell ref="H112:H113"/>
    <mergeCell ref="L112:L113"/>
    <mergeCell ref="B114:B115"/>
    <mergeCell ref="C114:C115"/>
    <mergeCell ref="D114:D115"/>
    <mergeCell ref="H114:H115"/>
    <mergeCell ref="L114:L115"/>
    <mergeCell ref="B120:B121"/>
    <mergeCell ref="C120:C121"/>
    <mergeCell ref="D120:D121"/>
    <mergeCell ref="H120:H121"/>
    <mergeCell ref="L120:L121"/>
    <mergeCell ref="B101:B102"/>
    <mergeCell ref="C101:C102"/>
    <mergeCell ref="D101:D102"/>
    <mergeCell ref="H101:H102"/>
    <mergeCell ref="L101:L102"/>
    <mergeCell ref="B103:B104"/>
    <mergeCell ref="C103:C104"/>
    <mergeCell ref="D103:D104"/>
    <mergeCell ref="H103:H104"/>
    <mergeCell ref="L103:L104"/>
    <mergeCell ref="B97:B98"/>
    <mergeCell ref="C97:C98"/>
    <mergeCell ref="D97:D98"/>
    <mergeCell ref="H97:H98"/>
    <mergeCell ref="L97:L98"/>
    <mergeCell ref="B99:B100"/>
    <mergeCell ref="C99:C100"/>
    <mergeCell ref="D99:D100"/>
    <mergeCell ref="H99:H100"/>
    <mergeCell ref="L99:L100"/>
    <mergeCell ref="B90:B91"/>
    <mergeCell ref="C90:C91"/>
    <mergeCell ref="D90:D91"/>
    <mergeCell ref="B92:B93"/>
    <mergeCell ref="C92:C93"/>
    <mergeCell ref="D92:D93"/>
    <mergeCell ref="B86:B87"/>
    <mergeCell ref="C86:C87"/>
    <mergeCell ref="D86:D87"/>
    <mergeCell ref="B88:B89"/>
    <mergeCell ref="C88:C89"/>
    <mergeCell ref="D88:D89"/>
    <mergeCell ref="B82:B83"/>
    <mergeCell ref="C82:C83"/>
    <mergeCell ref="D82:D83"/>
    <mergeCell ref="B84:B85"/>
    <mergeCell ref="C84:C85"/>
    <mergeCell ref="D84:D85"/>
    <mergeCell ref="B75:B76"/>
    <mergeCell ref="C75:C76"/>
    <mergeCell ref="D75:D76"/>
    <mergeCell ref="H75:H76"/>
    <mergeCell ref="L75:L76"/>
    <mergeCell ref="B77:B78"/>
    <mergeCell ref="C77:C78"/>
    <mergeCell ref="D77:D78"/>
    <mergeCell ref="H77:H78"/>
    <mergeCell ref="B71:B72"/>
    <mergeCell ref="C71:C72"/>
    <mergeCell ref="D71:D72"/>
    <mergeCell ref="H71:H72"/>
    <mergeCell ref="L71:L72"/>
    <mergeCell ref="B73:B74"/>
    <mergeCell ref="C73:C74"/>
    <mergeCell ref="D73:D74"/>
    <mergeCell ref="H73:H74"/>
    <mergeCell ref="L73:L74"/>
    <mergeCell ref="B67:B68"/>
    <mergeCell ref="C67:C68"/>
    <mergeCell ref="D67:D68"/>
    <mergeCell ref="H67:H68"/>
    <mergeCell ref="L67:L68"/>
    <mergeCell ref="B69:B70"/>
    <mergeCell ref="C69:C70"/>
    <mergeCell ref="D69:D70"/>
    <mergeCell ref="H69:H70"/>
    <mergeCell ref="L69:L70"/>
    <mergeCell ref="B60:B61"/>
    <mergeCell ref="C60:C61"/>
    <mergeCell ref="D60:D61"/>
    <mergeCell ref="H60:H61"/>
    <mergeCell ref="B62:B63"/>
    <mergeCell ref="C62:C63"/>
    <mergeCell ref="D62:D63"/>
    <mergeCell ref="H62:H63"/>
    <mergeCell ref="B56:B57"/>
    <mergeCell ref="C56:C57"/>
    <mergeCell ref="D56:D57"/>
    <mergeCell ref="H56:H57"/>
    <mergeCell ref="B58:B59"/>
    <mergeCell ref="C58:C59"/>
    <mergeCell ref="D58:D59"/>
    <mergeCell ref="H58:H59"/>
    <mergeCell ref="B52:B53"/>
    <mergeCell ref="C52:C53"/>
    <mergeCell ref="D52:D53"/>
    <mergeCell ref="H52:H53"/>
    <mergeCell ref="B54:B55"/>
    <mergeCell ref="C54:C55"/>
    <mergeCell ref="D54:D55"/>
    <mergeCell ref="H54:H55"/>
    <mergeCell ref="B47:B48"/>
    <mergeCell ref="C47:C48"/>
    <mergeCell ref="D47:D48"/>
    <mergeCell ref="H47:H48"/>
    <mergeCell ref="L47:L48"/>
    <mergeCell ref="B43:B44"/>
    <mergeCell ref="C43:C44"/>
    <mergeCell ref="D43:D44"/>
    <mergeCell ref="H43:H44"/>
    <mergeCell ref="L43:L44"/>
    <mergeCell ref="B45:B46"/>
    <mergeCell ref="C45:C46"/>
    <mergeCell ref="D45:D46"/>
    <mergeCell ref="H45:H46"/>
    <mergeCell ref="L45:L46"/>
    <mergeCell ref="B39:B40"/>
    <mergeCell ref="C39:C40"/>
    <mergeCell ref="D39:D40"/>
    <mergeCell ref="H39:H40"/>
    <mergeCell ref="L39:L40"/>
    <mergeCell ref="B41:B42"/>
    <mergeCell ref="C41:C42"/>
    <mergeCell ref="D41:D42"/>
    <mergeCell ref="H41:H42"/>
    <mergeCell ref="L41:L42"/>
    <mergeCell ref="L35:M35"/>
    <mergeCell ref="B37:B38"/>
    <mergeCell ref="C37:C38"/>
    <mergeCell ref="D37:D38"/>
    <mergeCell ref="H37:H38"/>
    <mergeCell ref="L37:L38"/>
    <mergeCell ref="B32:B33"/>
    <mergeCell ref="C32:C33"/>
    <mergeCell ref="D32:D33"/>
    <mergeCell ref="H32:H33"/>
    <mergeCell ref="L32:L33"/>
    <mergeCell ref="B30:B31"/>
    <mergeCell ref="C30:C31"/>
    <mergeCell ref="D30:D31"/>
    <mergeCell ref="H30:H31"/>
    <mergeCell ref="L30:L31"/>
    <mergeCell ref="B28:B29"/>
    <mergeCell ref="C28:C29"/>
    <mergeCell ref="D28:D29"/>
    <mergeCell ref="H28:H29"/>
    <mergeCell ref="L28:L29"/>
    <mergeCell ref="B26:B27"/>
    <mergeCell ref="C26:C27"/>
    <mergeCell ref="D26:D27"/>
    <mergeCell ref="H26:H27"/>
    <mergeCell ref="L26:L27"/>
    <mergeCell ref="B24:B25"/>
    <mergeCell ref="C24:C25"/>
    <mergeCell ref="D24:D25"/>
    <mergeCell ref="H24:H25"/>
    <mergeCell ref="L24:L25"/>
    <mergeCell ref="H20:I20"/>
    <mergeCell ref="L20:M20"/>
    <mergeCell ref="B22:B23"/>
    <mergeCell ref="C22:C23"/>
    <mergeCell ref="D22:D23"/>
    <mergeCell ref="H22:H23"/>
    <mergeCell ref="L22:L23"/>
    <mergeCell ref="B17:B18"/>
    <mergeCell ref="C17:C18"/>
    <mergeCell ref="D17:D18"/>
    <mergeCell ref="H17:H18"/>
    <mergeCell ref="L17:L18"/>
    <mergeCell ref="H9:H10"/>
    <mergeCell ref="L9:L10"/>
    <mergeCell ref="B15:B16"/>
    <mergeCell ref="C15:C16"/>
    <mergeCell ref="D15:D16"/>
    <mergeCell ref="H15:H16"/>
    <mergeCell ref="L15:L16"/>
    <mergeCell ref="B13:B14"/>
    <mergeCell ref="C13:C14"/>
    <mergeCell ref="D13:D14"/>
    <mergeCell ref="H13:H14"/>
    <mergeCell ref="L13:L14"/>
    <mergeCell ref="B7:B8"/>
    <mergeCell ref="C7:C8"/>
    <mergeCell ref="D7:D8"/>
    <mergeCell ref="H7:H8"/>
    <mergeCell ref="L7:L8"/>
    <mergeCell ref="C131:C132"/>
    <mergeCell ref="C133:C134"/>
    <mergeCell ref="C135:C136"/>
    <mergeCell ref="H82:H83"/>
    <mergeCell ref="H84:H85"/>
    <mergeCell ref="H86:H87"/>
    <mergeCell ref="H88:H89"/>
    <mergeCell ref="H90:H91"/>
    <mergeCell ref="H92:H93"/>
    <mergeCell ref="B11:B12"/>
    <mergeCell ref="C11:C12"/>
    <mergeCell ref="D11:D12"/>
    <mergeCell ref="H11:H12"/>
    <mergeCell ref="L11:L12"/>
    <mergeCell ref="B9:B10"/>
    <mergeCell ref="C9:C10"/>
    <mergeCell ref="D9:D10"/>
    <mergeCell ref="L80:M80"/>
    <mergeCell ref="L82:L83"/>
    <mergeCell ref="L84:L85"/>
    <mergeCell ref="L86:L87"/>
    <mergeCell ref="L88:L89"/>
    <mergeCell ref="L90:L91"/>
    <mergeCell ref="L92:L93"/>
    <mergeCell ref="L50:M50"/>
    <mergeCell ref="L52:L53"/>
    <mergeCell ref="L54:L55"/>
    <mergeCell ref="L56:L57"/>
    <mergeCell ref="L58:L59"/>
    <mergeCell ref="L60:L61"/>
    <mergeCell ref="L62:L63"/>
    <mergeCell ref="L65:M65"/>
    <mergeCell ref="L77:L78"/>
  </mergeCells>
  <phoneticPr fontId="1"/>
  <pageMargins left="0.35433070866141736" right="0.39370078740157483" top="0.47244094488188981" bottom="0.47244094488188981" header="0.49" footer="0.35433070866141736"/>
  <pageSetup paperSize="9" scale="55" fitToHeight="6" orientation="portrait" horizontalDpi="300" verticalDpi="300" r:id="rId1"/>
  <headerFooter alignWithMargins="0"/>
  <rowBreaks count="3" manualBreakCount="3">
    <brk id="124" min="1" max="17" man="1"/>
    <brk id="173" min="1" max="17" man="1"/>
    <brk id="237" min="1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19"/>
  <sheetViews>
    <sheetView topLeftCell="A16" workbookViewId="0">
      <selection activeCell="C11" sqref="C11"/>
    </sheetView>
    <sheetView workbookViewId="1">
      <selection sqref="A1:H1"/>
    </sheetView>
  </sheetViews>
  <sheetFormatPr defaultColWidth="13" defaultRowHeight="13" x14ac:dyDescent="0.2"/>
  <cols>
    <col min="1" max="1" width="10.08984375" style="10" customWidth="1"/>
    <col min="2" max="2" width="4.6328125" style="10" customWidth="1"/>
    <col min="3" max="3" width="18.6328125" style="10" customWidth="1"/>
    <col min="4" max="4" width="6.90625" style="10" customWidth="1"/>
    <col min="5" max="5" width="5" style="10" customWidth="1"/>
    <col min="6" max="6" width="14.08984375" style="10" customWidth="1"/>
    <col min="7" max="7" width="14" style="10" customWidth="1"/>
    <col min="8" max="16384" width="13" style="10"/>
  </cols>
  <sheetData>
    <row r="1" spans="1:8" x14ac:dyDescent="0.2">
      <c r="A1" s="603" t="s">
        <v>59</v>
      </c>
      <c r="B1" s="603"/>
      <c r="C1" s="603"/>
      <c r="D1" s="603"/>
      <c r="E1" s="603"/>
      <c r="F1" s="603"/>
      <c r="G1" s="603"/>
      <c r="H1" s="603"/>
    </row>
    <row r="2" spans="1:8" ht="13.5" thickBot="1" x14ac:dyDescent="0.25">
      <c r="A2" s="263"/>
      <c r="B2" s="263"/>
      <c r="C2" s="263"/>
      <c r="D2" s="263"/>
      <c r="E2" s="263"/>
      <c r="F2" s="263"/>
      <c r="G2" s="263"/>
      <c r="H2" s="263"/>
    </row>
    <row r="3" spans="1:8" ht="13.5" customHeight="1" x14ac:dyDescent="0.2">
      <c r="A3" s="264" t="s">
        <v>346</v>
      </c>
      <c r="B3" s="590" t="s">
        <v>347</v>
      </c>
      <c r="C3" s="593" t="s">
        <v>348</v>
      </c>
      <c r="D3" s="265"/>
      <c r="E3" s="596" t="s">
        <v>349</v>
      </c>
      <c r="F3" s="599" t="s">
        <v>350</v>
      </c>
      <c r="G3" s="600"/>
      <c r="H3" s="266" t="s">
        <v>351</v>
      </c>
    </row>
    <row r="4" spans="1:8" x14ac:dyDescent="0.2">
      <c r="A4" s="267" t="s">
        <v>172</v>
      </c>
      <c r="B4" s="591"/>
      <c r="C4" s="594"/>
      <c r="D4" s="268" t="s">
        <v>352</v>
      </c>
      <c r="E4" s="597"/>
      <c r="F4" s="601" t="s">
        <v>116</v>
      </c>
      <c r="G4" s="601" t="s">
        <v>117</v>
      </c>
      <c r="H4" s="269" t="s">
        <v>353</v>
      </c>
    </row>
    <row r="5" spans="1:8" ht="13.5" thickBot="1" x14ac:dyDescent="0.25">
      <c r="A5" s="270" t="s">
        <v>354</v>
      </c>
      <c r="B5" s="592"/>
      <c r="C5" s="595"/>
      <c r="D5" s="271"/>
      <c r="E5" s="598"/>
      <c r="F5" s="602"/>
      <c r="G5" s="602"/>
      <c r="H5" s="272" t="s">
        <v>355</v>
      </c>
    </row>
    <row r="6" spans="1:8" ht="13.5" thickTop="1" x14ac:dyDescent="0.2">
      <c r="A6" s="267"/>
      <c r="B6" s="273">
        <v>1</v>
      </c>
      <c r="C6" s="274"/>
      <c r="D6" s="275"/>
      <c r="E6" s="276"/>
      <c r="F6" s="276"/>
      <c r="G6" s="276"/>
      <c r="H6" s="277"/>
    </row>
    <row r="7" spans="1:8" x14ac:dyDescent="0.2">
      <c r="A7" s="278">
        <v>1</v>
      </c>
      <c r="B7" s="279">
        <v>2</v>
      </c>
      <c r="C7" s="280" t="e">
        <f>#REF!</f>
        <v>#REF!</v>
      </c>
      <c r="D7" s="281" t="e">
        <f>#REF!</f>
        <v>#REF!</v>
      </c>
      <c r="E7" s="282"/>
      <c r="F7" s="282"/>
      <c r="G7" s="282"/>
      <c r="H7" s="277"/>
    </row>
    <row r="8" spans="1:8" x14ac:dyDescent="0.2">
      <c r="A8" s="283">
        <v>0.5</v>
      </c>
      <c r="B8" s="279">
        <v>3</v>
      </c>
      <c r="C8" s="280" t="e">
        <f>#REF!</f>
        <v>#REF!</v>
      </c>
      <c r="D8" s="281" t="e">
        <f>#REF!</f>
        <v>#REF!</v>
      </c>
      <c r="E8" s="282"/>
      <c r="F8" s="282"/>
      <c r="G8" s="282"/>
      <c r="H8" s="277"/>
    </row>
    <row r="9" spans="1:8" x14ac:dyDescent="0.2">
      <c r="A9" s="284" t="s">
        <v>78</v>
      </c>
      <c r="B9" s="279">
        <v>4</v>
      </c>
      <c r="C9" s="280" t="e">
        <f>#REF!</f>
        <v>#REF!</v>
      </c>
      <c r="D9" s="281" t="e">
        <f>#REF!</f>
        <v>#REF!</v>
      </c>
      <c r="E9" s="282"/>
      <c r="F9" s="282"/>
      <c r="G9" s="282"/>
      <c r="H9" s="277"/>
    </row>
    <row r="10" spans="1:8" x14ac:dyDescent="0.2">
      <c r="A10" s="284" t="s">
        <v>125</v>
      </c>
      <c r="B10" s="279">
        <v>5</v>
      </c>
      <c r="C10" s="280" t="e">
        <f>#REF!</f>
        <v>#REF!</v>
      </c>
      <c r="D10" s="281" t="e">
        <f>#REF!</f>
        <v>#REF!</v>
      </c>
      <c r="E10" s="282"/>
      <c r="F10" s="282"/>
      <c r="G10" s="282"/>
      <c r="H10" s="277"/>
    </row>
    <row r="11" spans="1:8" x14ac:dyDescent="0.2">
      <c r="A11" s="285" t="s">
        <v>31</v>
      </c>
      <c r="B11" s="286">
        <v>6</v>
      </c>
      <c r="C11" s="287" t="e">
        <f>#REF!</f>
        <v>#REF!</v>
      </c>
      <c r="D11" s="288" t="e">
        <f>#REF!</f>
        <v>#REF!</v>
      </c>
      <c r="E11" s="289"/>
      <c r="F11" s="289"/>
      <c r="G11" s="289"/>
      <c r="H11" s="290"/>
    </row>
    <row r="12" spans="1:8" x14ac:dyDescent="0.2">
      <c r="A12" s="284"/>
      <c r="B12" s="291">
        <v>1</v>
      </c>
      <c r="C12" s="292"/>
      <c r="D12" s="293"/>
      <c r="E12" s="294"/>
      <c r="F12" s="294"/>
      <c r="G12" s="294"/>
      <c r="H12" s="277"/>
    </row>
    <row r="13" spans="1:8" x14ac:dyDescent="0.2">
      <c r="A13" s="278">
        <v>2</v>
      </c>
      <c r="B13" s="279">
        <v>2</v>
      </c>
      <c r="C13" s="280" t="e">
        <f>#REF!</f>
        <v>#REF!</v>
      </c>
      <c r="D13" s="281" t="e">
        <f>#REF!</f>
        <v>#REF!</v>
      </c>
      <c r="E13" s="282"/>
      <c r="F13" s="282"/>
      <c r="G13" s="282"/>
      <c r="H13" s="277"/>
    </row>
    <row r="14" spans="1:8" x14ac:dyDescent="0.2">
      <c r="A14" s="283">
        <v>0.50555555555555554</v>
      </c>
      <c r="B14" s="279">
        <v>3</v>
      </c>
      <c r="C14" s="280" t="e">
        <f>#REF!</f>
        <v>#REF!</v>
      </c>
      <c r="D14" s="281" t="e">
        <f>#REF!</f>
        <v>#REF!</v>
      </c>
      <c r="E14" s="282"/>
      <c r="F14" s="282"/>
      <c r="G14" s="282"/>
      <c r="H14" s="277"/>
    </row>
    <row r="15" spans="1:8" x14ac:dyDescent="0.2">
      <c r="A15" s="284" t="s">
        <v>78</v>
      </c>
      <c r="B15" s="279">
        <v>4</v>
      </c>
      <c r="C15" s="280" t="e">
        <f>#REF!</f>
        <v>#REF!</v>
      </c>
      <c r="D15" s="281" t="e">
        <f>#REF!</f>
        <v>#REF!</v>
      </c>
      <c r="E15" s="282"/>
      <c r="F15" s="282"/>
      <c r="G15" s="282"/>
      <c r="H15" s="277"/>
    </row>
    <row r="16" spans="1:8" x14ac:dyDescent="0.2">
      <c r="A16" s="284" t="s">
        <v>126</v>
      </c>
      <c r="B16" s="279">
        <v>5</v>
      </c>
      <c r="C16" s="280" t="e">
        <f>#REF!</f>
        <v>#REF!</v>
      </c>
      <c r="D16" s="281" t="e">
        <f>#REF!</f>
        <v>#REF!</v>
      </c>
      <c r="E16" s="282"/>
      <c r="F16" s="282"/>
      <c r="G16" s="282"/>
      <c r="H16" s="277"/>
    </row>
    <row r="17" spans="1:8" x14ac:dyDescent="0.2">
      <c r="A17" s="285" t="s">
        <v>31</v>
      </c>
      <c r="B17" s="286">
        <v>6</v>
      </c>
      <c r="C17" s="295" t="e">
        <f>#REF!</f>
        <v>#REF!</v>
      </c>
      <c r="D17" s="288" t="e">
        <f>#REF!</f>
        <v>#REF!</v>
      </c>
      <c r="E17" s="289"/>
      <c r="F17" s="289"/>
      <c r="G17" s="289"/>
      <c r="H17" s="290"/>
    </row>
    <row r="18" spans="1:8" x14ac:dyDescent="0.2">
      <c r="A18" s="296"/>
      <c r="B18" s="297">
        <v>1</v>
      </c>
      <c r="C18" s="280"/>
      <c r="D18" s="281"/>
      <c r="E18" s="298"/>
      <c r="F18" s="298"/>
      <c r="G18" s="298"/>
      <c r="H18" s="299"/>
    </row>
    <row r="19" spans="1:8" x14ac:dyDescent="0.2">
      <c r="A19" s="278">
        <v>3</v>
      </c>
      <c r="B19" s="279">
        <v>2</v>
      </c>
      <c r="C19" s="280" t="e">
        <f>#REF!</f>
        <v>#REF!</v>
      </c>
      <c r="D19" s="281" t="e">
        <f>#REF!</f>
        <v>#REF!</v>
      </c>
      <c r="E19" s="282"/>
      <c r="F19" s="282"/>
      <c r="G19" s="282"/>
      <c r="H19" s="277"/>
    </row>
    <row r="20" spans="1:8" x14ac:dyDescent="0.2">
      <c r="A20" s="283">
        <v>0.51111111111111118</v>
      </c>
      <c r="B20" s="279">
        <v>3</v>
      </c>
      <c r="C20" s="280" t="e">
        <f>#REF!</f>
        <v>#REF!</v>
      </c>
      <c r="D20" s="281" t="e">
        <f>#REF!</f>
        <v>#REF!</v>
      </c>
      <c r="E20" s="282"/>
      <c r="F20" s="282"/>
      <c r="G20" s="282"/>
      <c r="H20" s="277"/>
    </row>
    <row r="21" spans="1:8" x14ac:dyDescent="0.2">
      <c r="A21" s="284" t="s">
        <v>111</v>
      </c>
      <c r="B21" s="279">
        <v>4</v>
      </c>
      <c r="C21" s="280" t="e">
        <f>#REF!</f>
        <v>#REF!</v>
      </c>
      <c r="D21" s="281" t="e">
        <f>#REF!</f>
        <v>#REF!</v>
      </c>
      <c r="E21" s="282"/>
      <c r="F21" s="282"/>
      <c r="G21" s="282"/>
      <c r="H21" s="277"/>
    </row>
    <row r="22" spans="1:8" x14ac:dyDescent="0.2">
      <c r="A22" s="284" t="s">
        <v>127</v>
      </c>
      <c r="B22" s="279">
        <v>5</v>
      </c>
      <c r="C22" s="280" t="e">
        <f>#REF!</f>
        <v>#REF!</v>
      </c>
      <c r="D22" s="281" t="e">
        <f>#REF!</f>
        <v>#REF!</v>
      </c>
      <c r="E22" s="282"/>
      <c r="F22" s="282"/>
      <c r="G22" s="282"/>
      <c r="H22" s="277"/>
    </row>
    <row r="23" spans="1:8" x14ac:dyDescent="0.2">
      <c r="A23" s="285" t="s">
        <v>31</v>
      </c>
      <c r="B23" s="297">
        <v>6</v>
      </c>
      <c r="C23" s="280" t="e">
        <f>#REF!</f>
        <v>#REF!</v>
      </c>
      <c r="D23" s="281" t="e">
        <f>#REF!</f>
        <v>#REF!</v>
      </c>
      <c r="E23" s="298"/>
      <c r="F23" s="298"/>
      <c r="G23" s="298"/>
      <c r="H23" s="290"/>
    </row>
    <row r="24" spans="1:8" x14ac:dyDescent="0.2">
      <c r="A24" s="296"/>
      <c r="B24" s="291">
        <v>1</v>
      </c>
      <c r="C24" s="300" t="e">
        <f>#REF!</f>
        <v>#REF!</v>
      </c>
      <c r="D24" s="301" t="e">
        <f>#REF!</f>
        <v>#REF!</v>
      </c>
      <c r="E24" s="294"/>
      <c r="F24" s="294"/>
      <c r="G24" s="294"/>
      <c r="H24" s="299"/>
    </row>
    <row r="25" spans="1:8" x14ac:dyDescent="0.2">
      <c r="A25" s="278">
        <v>4</v>
      </c>
      <c r="B25" s="279" t="e">
        <f>#REF!</f>
        <v>#REF!</v>
      </c>
      <c r="C25" s="280" t="e">
        <f>#REF!</f>
        <v>#REF!</v>
      </c>
      <c r="D25" s="281" t="e">
        <f>#REF!</f>
        <v>#REF!</v>
      </c>
      <c r="E25" s="282"/>
      <c r="F25" s="282"/>
      <c r="G25" s="282"/>
      <c r="H25" s="277"/>
    </row>
    <row r="26" spans="1:8" x14ac:dyDescent="0.2">
      <c r="A26" s="283">
        <v>0.51666666666666672</v>
      </c>
      <c r="B26" s="279" t="e">
        <f>#REF!</f>
        <v>#REF!</v>
      </c>
      <c r="C26" s="280" t="e">
        <f>#REF!</f>
        <v>#REF!</v>
      </c>
      <c r="D26" s="281" t="e">
        <f>#REF!</f>
        <v>#REF!</v>
      </c>
      <c r="E26" s="282"/>
      <c r="F26" s="282"/>
      <c r="G26" s="282"/>
      <c r="H26" s="277"/>
    </row>
    <row r="27" spans="1:8" x14ac:dyDescent="0.2">
      <c r="A27" s="284" t="s">
        <v>111</v>
      </c>
      <c r="B27" s="279" t="e">
        <f>#REF!</f>
        <v>#REF!</v>
      </c>
      <c r="C27" s="280" t="e">
        <f>#REF!</f>
        <v>#REF!</v>
      </c>
      <c r="D27" s="281" t="e">
        <f>#REF!</f>
        <v>#REF!</v>
      </c>
      <c r="E27" s="282"/>
      <c r="F27" s="282"/>
      <c r="G27" s="282"/>
      <c r="H27" s="277"/>
    </row>
    <row r="28" spans="1:8" x14ac:dyDescent="0.2">
      <c r="A28" s="284" t="s">
        <v>128</v>
      </c>
      <c r="B28" s="279">
        <v>5</v>
      </c>
      <c r="C28" s="280" t="e">
        <f>#REF!</f>
        <v>#REF!</v>
      </c>
      <c r="D28" s="281" t="e">
        <f>#REF!</f>
        <v>#REF!</v>
      </c>
      <c r="E28" s="282"/>
      <c r="F28" s="282"/>
      <c r="G28" s="282"/>
      <c r="H28" s="277"/>
    </row>
    <row r="29" spans="1:8" x14ac:dyDescent="0.2">
      <c r="A29" s="285" t="s">
        <v>31</v>
      </c>
      <c r="B29" s="286">
        <v>6</v>
      </c>
      <c r="C29" s="302" t="e">
        <f>#REF!</f>
        <v>#REF!</v>
      </c>
      <c r="D29" s="303" t="e">
        <f>#REF!</f>
        <v>#REF!</v>
      </c>
      <c r="E29" s="289"/>
      <c r="F29" s="289"/>
      <c r="G29" s="289"/>
      <c r="H29" s="290"/>
    </row>
    <row r="30" spans="1:8" x14ac:dyDescent="0.2">
      <c r="A30" s="296"/>
      <c r="B30" s="297">
        <v>1</v>
      </c>
      <c r="C30" s="300" t="e">
        <f>#REF!</f>
        <v>#REF!</v>
      </c>
      <c r="D30" s="301" t="e">
        <f>#REF!</f>
        <v>#REF!</v>
      </c>
      <c r="E30" s="304"/>
      <c r="F30" s="298"/>
      <c r="G30" s="298"/>
      <c r="H30" s="299"/>
    </row>
    <row r="31" spans="1:8" x14ac:dyDescent="0.2">
      <c r="A31" s="278">
        <v>5</v>
      </c>
      <c r="B31" s="279">
        <v>2</v>
      </c>
      <c r="C31" s="280" t="e">
        <f>#REF!</f>
        <v>#REF!</v>
      </c>
      <c r="D31" s="281" t="e">
        <f>#REF!</f>
        <v>#REF!</v>
      </c>
      <c r="E31" s="281"/>
      <c r="F31" s="282"/>
      <c r="G31" s="282"/>
      <c r="H31" s="277"/>
    </row>
    <row r="32" spans="1:8" x14ac:dyDescent="0.2">
      <c r="A32" s="283">
        <v>0.52222222222222225</v>
      </c>
      <c r="B32" s="279">
        <v>3</v>
      </c>
      <c r="C32" s="280" t="e">
        <f>#REF!</f>
        <v>#REF!</v>
      </c>
      <c r="D32" s="281" t="e">
        <f>#REF!</f>
        <v>#REF!</v>
      </c>
      <c r="E32" s="281"/>
      <c r="F32" s="282"/>
      <c r="G32" s="282"/>
      <c r="H32" s="277"/>
    </row>
    <row r="33" spans="1:8" x14ac:dyDescent="0.2">
      <c r="A33" s="284" t="s">
        <v>111</v>
      </c>
      <c r="B33" s="279">
        <v>4</v>
      </c>
      <c r="C33" s="280" t="e">
        <f>#REF!</f>
        <v>#REF!</v>
      </c>
      <c r="D33" s="281" t="e">
        <f>#REF!</f>
        <v>#REF!</v>
      </c>
      <c r="E33" s="281"/>
      <c r="F33" s="282"/>
      <c r="G33" s="282"/>
      <c r="H33" s="277"/>
    </row>
    <row r="34" spans="1:8" x14ac:dyDescent="0.2">
      <c r="A34" s="284" t="s">
        <v>129</v>
      </c>
      <c r="B34" s="279">
        <v>5</v>
      </c>
      <c r="C34" s="280" t="e">
        <f>#REF!</f>
        <v>#REF!</v>
      </c>
      <c r="D34" s="281" t="e">
        <f>#REF!</f>
        <v>#REF!</v>
      </c>
      <c r="E34" s="281"/>
      <c r="F34" s="282"/>
      <c r="G34" s="282"/>
      <c r="H34" s="277"/>
    </row>
    <row r="35" spans="1:8" x14ac:dyDescent="0.2">
      <c r="A35" s="285" t="s">
        <v>60</v>
      </c>
      <c r="B35" s="297">
        <v>6</v>
      </c>
      <c r="C35" s="302" t="e">
        <f>#REF!</f>
        <v>#REF!</v>
      </c>
      <c r="D35" s="303" t="e">
        <f>#REF!</f>
        <v>#REF!</v>
      </c>
      <c r="E35" s="304"/>
      <c r="F35" s="298"/>
      <c r="G35" s="298"/>
      <c r="H35" s="290"/>
    </row>
    <row r="36" spans="1:8" x14ac:dyDescent="0.2">
      <c r="A36" s="305"/>
      <c r="B36" s="291">
        <v>1</v>
      </c>
      <c r="C36" s="300" t="e">
        <f>#REF!</f>
        <v>#REF!</v>
      </c>
      <c r="D36" s="301" t="e">
        <f>#REF!</f>
        <v>#REF!</v>
      </c>
      <c r="E36" s="294"/>
      <c r="F36" s="294"/>
      <c r="G36" s="294"/>
      <c r="H36" s="299"/>
    </row>
    <row r="37" spans="1:8" x14ac:dyDescent="0.2">
      <c r="A37" s="278">
        <v>6</v>
      </c>
      <c r="B37" s="279">
        <v>2</v>
      </c>
      <c r="C37" s="280" t="e">
        <f>#REF!</f>
        <v>#REF!</v>
      </c>
      <c r="D37" s="281" t="e">
        <f>#REF!</f>
        <v>#REF!</v>
      </c>
      <c r="E37" s="282"/>
      <c r="F37" s="282"/>
      <c r="G37" s="282"/>
      <c r="H37" s="277"/>
    </row>
    <row r="38" spans="1:8" x14ac:dyDescent="0.2">
      <c r="A38" s="283">
        <v>0.52777777777777779</v>
      </c>
      <c r="B38" s="279">
        <v>3</v>
      </c>
      <c r="C38" s="280" t="e">
        <f>#REF!</f>
        <v>#REF!</v>
      </c>
      <c r="D38" s="281" t="e">
        <f>#REF!</f>
        <v>#REF!</v>
      </c>
      <c r="E38" s="282"/>
      <c r="F38" s="282"/>
      <c r="G38" s="282"/>
      <c r="H38" s="277"/>
    </row>
    <row r="39" spans="1:8" x14ac:dyDescent="0.2">
      <c r="A39" s="284" t="s">
        <v>41</v>
      </c>
      <c r="B39" s="279">
        <v>4</v>
      </c>
      <c r="C39" s="280" t="e">
        <f>#REF!</f>
        <v>#REF!</v>
      </c>
      <c r="D39" s="281" t="e">
        <f>#REF!</f>
        <v>#REF!</v>
      </c>
      <c r="E39" s="282"/>
      <c r="F39" s="282"/>
      <c r="G39" s="282"/>
      <c r="H39" s="277"/>
    </row>
    <row r="40" spans="1:8" x14ac:dyDescent="0.2">
      <c r="A40" s="284" t="s">
        <v>384</v>
      </c>
      <c r="B40" s="279">
        <v>5</v>
      </c>
      <c r="C40" s="280" t="e">
        <f>#REF!</f>
        <v>#REF!</v>
      </c>
      <c r="D40" s="281" t="e">
        <f>#REF!</f>
        <v>#REF!</v>
      </c>
      <c r="E40" s="282"/>
      <c r="F40" s="282"/>
      <c r="G40" s="282"/>
      <c r="H40" s="277"/>
    </row>
    <row r="41" spans="1:8" x14ac:dyDescent="0.2">
      <c r="A41" s="285" t="s">
        <v>60</v>
      </c>
      <c r="B41" s="286">
        <v>6</v>
      </c>
      <c r="C41" s="302" t="e">
        <f>#REF!</f>
        <v>#REF!</v>
      </c>
      <c r="D41" s="303" t="e">
        <f>#REF!</f>
        <v>#REF!</v>
      </c>
      <c r="E41" s="289"/>
      <c r="F41" s="289"/>
      <c r="G41" s="289"/>
      <c r="H41" s="290"/>
    </row>
    <row r="42" spans="1:8" x14ac:dyDescent="0.2">
      <c r="A42" s="296"/>
      <c r="B42" s="297">
        <v>1</v>
      </c>
      <c r="C42" s="300"/>
      <c r="D42" s="301"/>
      <c r="E42" s="298"/>
      <c r="F42" s="298"/>
      <c r="G42" s="298"/>
      <c r="H42" s="299"/>
    </row>
    <row r="43" spans="1:8" x14ac:dyDescent="0.2">
      <c r="A43" s="278">
        <v>7</v>
      </c>
      <c r="B43" s="279">
        <v>2</v>
      </c>
      <c r="C43" s="280" t="e">
        <f>#REF!</f>
        <v>#REF!</v>
      </c>
      <c r="D43" s="281"/>
      <c r="E43" s="282"/>
      <c r="F43" s="282"/>
      <c r="G43" s="282"/>
      <c r="H43" s="277"/>
    </row>
    <row r="44" spans="1:8" x14ac:dyDescent="0.2">
      <c r="A44" s="283">
        <v>0.53333333333333333</v>
      </c>
      <c r="B44" s="279">
        <v>3</v>
      </c>
      <c r="C44" s="280" t="e">
        <f>#REF!</f>
        <v>#REF!</v>
      </c>
      <c r="D44" s="281"/>
      <c r="E44" s="282"/>
      <c r="F44" s="282"/>
      <c r="G44" s="282"/>
      <c r="H44" s="277"/>
    </row>
    <row r="45" spans="1:8" x14ac:dyDescent="0.2">
      <c r="A45" s="284" t="s">
        <v>385</v>
      </c>
      <c r="B45" s="279">
        <v>4</v>
      </c>
      <c r="C45" s="280" t="e">
        <f>#REF!</f>
        <v>#REF!</v>
      </c>
      <c r="D45" s="281"/>
      <c r="E45" s="282"/>
      <c r="F45" s="282"/>
      <c r="G45" s="282"/>
      <c r="H45" s="277"/>
    </row>
    <row r="46" spans="1:8" x14ac:dyDescent="0.2">
      <c r="A46" s="284" t="s">
        <v>125</v>
      </c>
      <c r="B46" s="279">
        <v>5</v>
      </c>
      <c r="C46" s="280" t="e">
        <f>#REF!</f>
        <v>#REF!</v>
      </c>
      <c r="D46" s="281"/>
      <c r="E46" s="282"/>
      <c r="F46" s="282"/>
      <c r="G46" s="282"/>
      <c r="H46" s="277"/>
    </row>
    <row r="47" spans="1:8" x14ac:dyDescent="0.2">
      <c r="A47" s="285" t="s">
        <v>60</v>
      </c>
      <c r="B47" s="297">
        <v>6</v>
      </c>
      <c r="C47" s="302" t="e">
        <f>#REF!</f>
        <v>#REF!</v>
      </c>
      <c r="D47" s="303"/>
      <c r="E47" s="298"/>
      <c r="F47" s="298"/>
      <c r="G47" s="298"/>
      <c r="H47" s="290"/>
    </row>
    <row r="48" spans="1:8" x14ac:dyDescent="0.2">
      <c r="A48" s="305"/>
      <c r="B48" s="291">
        <v>1</v>
      </c>
      <c r="C48" s="300" t="e">
        <f>#REF!</f>
        <v>#REF!</v>
      </c>
      <c r="D48" s="301"/>
      <c r="E48" s="294"/>
      <c r="F48" s="294"/>
      <c r="G48" s="294"/>
      <c r="H48" s="277"/>
    </row>
    <row r="49" spans="1:8" x14ac:dyDescent="0.2">
      <c r="A49" s="278">
        <v>8</v>
      </c>
      <c r="B49" s="279">
        <v>2</v>
      </c>
      <c r="C49" s="280" t="e">
        <f>#REF!</f>
        <v>#REF!</v>
      </c>
      <c r="D49" s="281"/>
      <c r="E49" s="282"/>
      <c r="F49" s="282"/>
      <c r="G49" s="282"/>
      <c r="H49" s="277"/>
    </row>
    <row r="50" spans="1:8" x14ac:dyDescent="0.2">
      <c r="A50" s="283">
        <v>0.53888888888888886</v>
      </c>
      <c r="B50" s="279">
        <v>3</v>
      </c>
      <c r="C50" s="280" t="e">
        <f>#REF!</f>
        <v>#REF!</v>
      </c>
      <c r="D50" s="281"/>
      <c r="E50" s="282"/>
      <c r="F50" s="282"/>
      <c r="G50" s="282"/>
      <c r="H50" s="277"/>
    </row>
    <row r="51" spans="1:8" x14ac:dyDescent="0.2">
      <c r="A51" s="284" t="s">
        <v>69</v>
      </c>
      <c r="B51" s="279">
        <v>4</v>
      </c>
      <c r="C51" s="280" t="e">
        <f>#REF!</f>
        <v>#REF!</v>
      </c>
      <c r="D51" s="281"/>
      <c r="E51" s="282"/>
      <c r="F51" s="282"/>
      <c r="G51" s="282"/>
      <c r="H51" s="277"/>
    </row>
    <row r="52" spans="1:8" x14ac:dyDescent="0.2">
      <c r="A52" s="284" t="s">
        <v>126</v>
      </c>
      <c r="B52" s="279">
        <v>5</v>
      </c>
      <c r="C52" s="280" t="e">
        <f>#REF!</f>
        <v>#REF!</v>
      </c>
      <c r="D52" s="281"/>
      <c r="E52" s="282"/>
      <c r="F52" s="282"/>
      <c r="G52" s="282"/>
      <c r="H52" s="277"/>
    </row>
    <row r="53" spans="1:8" x14ac:dyDescent="0.2">
      <c r="A53" s="285" t="s">
        <v>6</v>
      </c>
      <c r="B53" s="286">
        <v>6</v>
      </c>
      <c r="C53" s="302" t="e">
        <f>#REF!</f>
        <v>#REF!</v>
      </c>
      <c r="D53" s="303"/>
      <c r="E53" s="289"/>
      <c r="F53" s="289"/>
      <c r="G53" s="289"/>
      <c r="H53" s="290"/>
    </row>
    <row r="54" spans="1:8" x14ac:dyDescent="0.2">
      <c r="A54" s="296"/>
      <c r="B54" s="306">
        <v>1</v>
      </c>
      <c r="C54" s="300" t="e">
        <f>#REF!</f>
        <v>#REF!</v>
      </c>
      <c r="D54" s="307"/>
      <c r="E54" s="298"/>
      <c r="F54" s="298"/>
      <c r="G54" s="298"/>
      <c r="H54" s="299"/>
    </row>
    <row r="55" spans="1:8" x14ac:dyDescent="0.2">
      <c r="A55" s="278">
        <v>9</v>
      </c>
      <c r="B55" s="279">
        <v>2</v>
      </c>
      <c r="C55" s="287" t="e">
        <f>#REF!</f>
        <v>#REF!</v>
      </c>
      <c r="D55" s="281"/>
      <c r="E55" s="282"/>
      <c r="F55" s="282"/>
      <c r="G55" s="282"/>
      <c r="H55" s="277"/>
    </row>
    <row r="56" spans="1:8" x14ac:dyDescent="0.2">
      <c r="A56" s="283">
        <v>0.5444444444444444</v>
      </c>
      <c r="B56" s="279">
        <v>3</v>
      </c>
      <c r="C56" s="280" t="e">
        <f>#REF!</f>
        <v>#REF!</v>
      </c>
      <c r="D56" s="281"/>
      <c r="E56" s="282"/>
      <c r="F56" s="282"/>
      <c r="G56" s="282"/>
      <c r="H56" s="277"/>
    </row>
    <row r="57" spans="1:8" x14ac:dyDescent="0.2">
      <c r="A57" s="284" t="s">
        <v>69</v>
      </c>
      <c r="B57" s="279">
        <v>4</v>
      </c>
      <c r="C57" s="280" t="e">
        <f>#REF!</f>
        <v>#REF!</v>
      </c>
      <c r="D57" s="281"/>
      <c r="E57" s="282"/>
      <c r="F57" s="282"/>
      <c r="G57" s="282"/>
      <c r="H57" s="277"/>
    </row>
    <row r="58" spans="1:8" x14ac:dyDescent="0.2">
      <c r="A58" s="284" t="s">
        <v>127</v>
      </c>
      <c r="B58" s="279">
        <v>5</v>
      </c>
      <c r="C58" s="280" t="e">
        <f>#REF!</f>
        <v>#REF!</v>
      </c>
      <c r="D58" s="281"/>
      <c r="E58" s="282"/>
      <c r="F58" s="282"/>
      <c r="G58" s="282"/>
      <c r="H58" s="277"/>
    </row>
    <row r="59" spans="1:8" ht="13.5" thickBot="1" x14ac:dyDescent="0.25">
      <c r="A59" s="308" t="s">
        <v>60</v>
      </c>
      <c r="B59" s="309">
        <v>6</v>
      </c>
      <c r="C59" s="310" t="e">
        <f>#REF!</f>
        <v>#REF!</v>
      </c>
      <c r="D59" s="311"/>
      <c r="E59" s="312"/>
      <c r="F59" s="312"/>
      <c r="G59" s="312"/>
      <c r="H59" s="313"/>
    </row>
    <row r="60" spans="1:8" x14ac:dyDescent="0.2">
      <c r="A60" s="263"/>
      <c r="B60" s="263"/>
      <c r="C60" s="263"/>
      <c r="D60" s="263"/>
      <c r="E60" s="263"/>
      <c r="F60" s="263"/>
      <c r="G60" s="263"/>
      <c r="H60" s="263"/>
    </row>
    <row r="61" spans="1:8" x14ac:dyDescent="0.2">
      <c r="A61" s="603" t="s">
        <v>59</v>
      </c>
      <c r="B61" s="603"/>
      <c r="C61" s="603"/>
      <c r="D61" s="603"/>
      <c r="E61" s="603"/>
      <c r="F61" s="603"/>
      <c r="G61" s="603"/>
      <c r="H61" s="603"/>
    </row>
    <row r="62" spans="1:8" ht="13.5" thickBot="1" x14ac:dyDescent="0.25">
      <c r="A62" s="263"/>
      <c r="B62" s="263"/>
      <c r="C62" s="263"/>
      <c r="D62" s="263"/>
      <c r="E62" s="263"/>
      <c r="F62" s="263"/>
      <c r="G62" s="263"/>
      <c r="H62" s="263"/>
    </row>
    <row r="63" spans="1:8" ht="13.5" customHeight="1" x14ac:dyDescent="0.2">
      <c r="A63" s="264" t="s">
        <v>346</v>
      </c>
      <c r="B63" s="590" t="s">
        <v>34</v>
      </c>
      <c r="C63" s="593" t="s">
        <v>356</v>
      </c>
      <c r="D63" s="265"/>
      <c r="E63" s="596" t="s">
        <v>349</v>
      </c>
      <c r="F63" s="599" t="s">
        <v>35</v>
      </c>
      <c r="G63" s="600"/>
      <c r="H63" s="266" t="s">
        <v>351</v>
      </c>
    </row>
    <row r="64" spans="1:8" x14ac:dyDescent="0.2">
      <c r="A64" s="267" t="s">
        <v>172</v>
      </c>
      <c r="B64" s="591"/>
      <c r="C64" s="594"/>
      <c r="D64" s="268"/>
      <c r="E64" s="597"/>
      <c r="F64" s="601" t="s">
        <v>36</v>
      </c>
      <c r="G64" s="601" t="s">
        <v>37</v>
      </c>
      <c r="H64" s="269" t="s">
        <v>353</v>
      </c>
    </row>
    <row r="65" spans="1:8" ht="13.5" thickBot="1" x14ac:dyDescent="0.25">
      <c r="A65" s="270" t="s">
        <v>354</v>
      </c>
      <c r="B65" s="592"/>
      <c r="C65" s="595"/>
      <c r="D65" s="271"/>
      <c r="E65" s="598"/>
      <c r="F65" s="602"/>
      <c r="G65" s="602"/>
      <c r="H65" s="272" t="s">
        <v>355</v>
      </c>
    </row>
    <row r="66" spans="1:8" ht="13.5" thickTop="1" x14ac:dyDescent="0.2">
      <c r="A66" s="267"/>
      <c r="B66" s="273">
        <v>1</v>
      </c>
      <c r="C66" s="274" t="e">
        <f>#REF!</f>
        <v>#REF!</v>
      </c>
      <c r="D66" s="275"/>
      <c r="E66" s="276"/>
      <c r="F66" s="276"/>
      <c r="G66" s="276"/>
      <c r="H66" s="277"/>
    </row>
    <row r="67" spans="1:8" x14ac:dyDescent="0.2">
      <c r="A67" s="278">
        <v>10</v>
      </c>
      <c r="B67" s="279">
        <v>2</v>
      </c>
      <c r="C67" s="280" t="e">
        <f>#REF!</f>
        <v>#REF!</v>
      </c>
      <c r="D67" s="281"/>
      <c r="E67" s="282"/>
      <c r="F67" s="282"/>
      <c r="G67" s="282"/>
      <c r="H67" s="277"/>
    </row>
    <row r="68" spans="1:8" x14ac:dyDescent="0.2">
      <c r="A68" s="283">
        <v>0.55000000000000004</v>
      </c>
      <c r="B68" s="279">
        <v>3</v>
      </c>
      <c r="C68" s="280" t="e">
        <f>#REF!</f>
        <v>#REF!</v>
      </c>
      <c r="D68" s="281"/>
      <c r="E68" s="282"/>
      <c r="F68" s="282"/>
      <c r="G68" s="282"/>
      <c r="H68" s="277"/>
    </row>
    <row r="69" spans="1:8" x14ac:dyDescent="0.2">
      <c r="A69" s="284" t="s">
        <v>386</v>
      </c>
      <c r="B69" s="279">
        <v>4</v>
      </c>
      <c r="C69" s="280" t="e">
        <f>#REF!</f>
        <v>#REF!</v>
      </c>
      <c r="D69" s="281"/>
      <c r="E69" s="282"/>
      <c r="F69" s="282"/>
      <c r="G69" s="282"/>
      <c r="H69" s="277"/>
    </row>
    <row r="70" spans="1:8" x14ac:dyDescent="0.2">
      <c r="A70" s="284" t="s">
        <v>128</v>
      </c>
      <c r="B70" s="279">
        <v>5</v>
      </c>
      <c r="C70" s="280" t="e">
        <f>#REF!</f>
        <v>#REF!</v>
      </c>
      <c r="D70" s="281"/>
      <c r="E70" s="282"/>
      <c r="F70" s="282"/>
      <c r="G70" s="282"/>
      <c r="H70" s="277"/>
    </row>
    <row r="71" spans="1:8" ht="13.5" thickBot="1" x14ac:dyDescent="0.25">
      <c r="A71" s="308" t="s">
        <v>42</v>
      </c>
      <c r="B71" s="314">
        <v>6</v>
      </c>
      <c r="C71" s="310" t="e">
        <f>#REF!</f>
        <v>#REF!</v>
      </c>
      <c r="D71" s="311"/>
      <c r="E71" s="312"/>
      <c r="F71" s="312"/>
      <c r="G71" s="312"/>
      <c r="H71" s="313"/>
    </row>
    <row r="72" spans="1:8" x14ac:dyDescent="0.2">
      <c r="A72" s="284"/>
      <c r="B72" s="297">
        <v>1</v>
      </c>
      <c r="C72" s="287" t="e">
        <f>#REF!</f>
        <v>#REF!</v>
      </c>
      <c r="D72" s="304" t="e">
        <f>#REF!</f>
        <v>#REF!</v>
      </c>
      <c r="E72" s="298"/>
      <c r="F72" s="298"/>
      <c r="G72" s="298"/>
      <c r="H72" s="277"/>
    </row>
    <row r="73" spans="1:8" x14ac:dyDescent="0.2">
      <c r="A73" s="278">
        <v>11</v>
      </c>
      <c r="B73" s="279">
        <v>2</v>
      </c>
      <c r="C73" s="280" t="e">
        <f>#REF!</f>
        <v>#REF!</v>
      </c>
      <c r="D73" s="281" t="e">
        <f>#REF!</f>
        <v>#REF!</v>
      </c>
      <c r="E73" s="282"/>
      <c r="F73" s="282"/>
      <c r="G73" s="282"/>
      <c r="H73" s="277"/>
    </row>
    <row r="74" spans="1:8" x14ac:dyDescent="0.2">
      <c r="A74" s="283">
        <v>0.57777777777777783</v>
      </c>
      <c r="B74" s="279">
        <v>3</v>
      </c>
      <c r="C74" s="280" t="e">
        <f>#REF!</f>
        <v>#REF!</v>
      </c>
      <c r="D74" s="281" t="e">
        <f>#REF!</f>
        <v>#REF!</v>
      </c>
      <c r="E74" s="282"/>
      <c r="F74" s="282"/>
      <c r="G74" s="282"/>
      <c r="H74" s="277"/>
    </row>
    <row r="75" spans="1:8" x14ac:dyDescent="0.2">
      <c r="A75" s="284" t="s">
        <v>29</v>
      </c>
      <c r="B75" s="279">
        <v>4</v>
      </c>
      <c r="C75" s="280" t="e">
        <f>#REF!</f>
        <v>#REF!</v>
      </c>
      <c r="D75" s="281" t="e">
        <f>#REF!</f>
        <v>#REF!</v>
      </c>
      <c r="E75" s="282"/>
      <c r="F75" s="282"/>
      <c r="G75" s="282"/>
      <c r="H75" s="277"/>
    </row>
    <row r="76" spans="1:8" x14ac:dyDescent="0.2">
      <c r="A76" s="284" t="s">
        <v>125</v>
      </c>
      <c r="B76" s="279">
        <v>5</v>
      </c>
      <c r="C76" s="280" t="e">
        <f>#REF!</f>
        <v>#REF!</v>
      </c>
      <c r="D76" s="281" t="e">
        <f>#REF!</f>
        <v>#REF!</v>
      </c>
      <c r="E76" s="282"/>
      <c r="F76" s="282"/>
      <c r="G76" s="282"/>
      <c r="H76" s="277"/>
    </row>
    <row r="77" spans="1:8" x14ac:dyDescent="0.2">
      <c r="A77" s="285" t="s">
        <v>6</v>
      </c>
      <c r="B77" s="286">
        <v>6</v>
      </c>
      <c r="C77" s="295" t="e">
        <f>#REF!</f>
        <v>#REF!</v>
      </c>
      <c r="D77" s="288" t="e">
        <f>#REF!</f>
        <v>#REF!</v>
      </c>
      <c r="E77" s="289"/>
      <c r="F77" s="289"/>
      <c r="G77" s="289"/>
      <c r="H77" s="290"/>
    </row>
    <row r="78" spans="1:8" x14ac:dyDescent="0.2">
      <c r="A78" s="296"/>
      <c r="B78" s="297">
        <v>1</v>
      </c>
      <c r="C78" s="292" t="e">
        <f>#REF!</f>
        <v>#REF!</v>
      </c>
      <c r="D78" s="281" t="e">
        <f>#REF!</f>
        <v>#REF!</v>
      </c>
      <c r="E78" s="298"/>
      <c r="F78" s="298"/>
      <c r="G78" s="298"/>
      <c r="H78" s="299"/>
    </row>
    <row r="79" spans="1:8" x14ac:dyDescent="0.2">
      <c r="A79" s="278">
        <v>12</v>
      </c>
      <c r="B79" s="279">
        <v>2</v>
      </c>
      <c r="C79" s="280" t="e">
        <f>#REF!</f>
        <v>#REF!</v>
      </c>
      <c r="D79" s="281" t="e">
        <f>#REF!</f>
        <v>#REF!</v>
      </c>
      <c r="E79" s="282"/>
      <c r="F79" s="282"/>
      <c r="G79" s="282"/>
      <c r="H79" s="277"/>
    </row>
    <row r="80" spans="1:8" x14ac:dyDescent="0.2">
      <c r="A80" s="283">
        <v>0.58333333333333337</v>
      </c>
      <c r="B80" s="279">
        <v>3</v>
      </c>
      <c r="C80" s="280" t="e">
        <f>#REF!</f>
        <v>#REF!</v>
      </c>
      <c r="D80" s="281" t="e">
        <f>#REF!</f>
        <v>#REF!</v>
      </c>
      <c r="E80" s="282"/>
      <c r="F80" s="282"/>
      <c r="G80" s="282"/>
      <c r="H80" s="277"/>
    </row>
    <row r="81" spans="1:8" x14ac:dyDescent="0.2">
      <c r="A81" s="284" t="s">
        <v>387</v>
      </c>
      <c r="B81" s="279">
        <v>4</v>
      </c>
      <c r="C81" s="280" t="e">
        <f>#REF!</f>
        <v>#REF!</v>
      </c>
      <c r="D81" s="281" t="e">
        <f>#REF!</f>
        <v>#REF!</v>
      </c>
      <c r="E81" s="282"/>
      <c r="F81" s="282"/>
      <c r="G81" s="282"/>
      <c r="H81" s="277"/>
    </row>
    <row r="82" spans="1:8" x14ac:dyDescent="0.2">
      <c r="A82" s="284" t="s">
        <v>126</v>
      </c>
      <c r="B82" s="279">
        <v>5</v>
      </c>
      <c r="C82" s="280" t="e">
        <f>#REF!</f>
        <v>#REF!</v>
      </c>
      <c r="D82" s="281" t="e">
        <f>#REF!</f>
        <v>#REF!</v>
      </c>
      <c r="E82" s="282"/>
      <c r="F82" s="282"/>
      <c r="G82" s="282"/>
      <c r="H82" s="277"/>
    </row>
    <row r="83" spans="1:8" x14ac:dyDescent="0.2">
      <c r="A83" s="285" t="s">
        <v>42</v>
      </c>
      <c r="B83" s="297">
        <v>6</v>
      </c>
      <c r="C83" s="280" t="e">
        <f>#REF!</f>
        <v>#REF!</v>
      </c>
      <c r="D83" s="281" t="e">
        <f>#REF!</f>
        <v>#REF!</v>
      </c>
      <c r="E83" s="298"/>
      <c r="F83" s="298"/>
      <c r="G83" s="298"/>
      <c r="H83" s="290"/>
    </row>
    <row r="84" spans="1:8" x14ac:dyDescent="0.2">
      <c r="A84" s="296"/>
      <c r="B84" s="291">
        <v>1</v>
      </c>
      <c r="C84" s="300" t="e">
        <f>#REF!</f>
        <v>#REF!</v>
      </c>
      <c r="D84" s="301"/>
      <c r="E84" s="294"/>
      <c r="F84" s="294"/>
      <c r="G84" s="294"/>
      <c r="H84" s="299"/>
    </row>
    <row r="85" spans="1:8" x14ac:dyDescent="0.2">
      <c r="A85" s="278">
        <v>13</v>
      </c>
      <c r="B85" s="279">
        <v>2</v>
      </c>
      <c r="C85" s="280" t="e">
        <f>#REF!</f>
        <v>#REF!</v>
      </c>
      <c r="D85" s="281"/>
      <c r="E85" s="282"/>
      <c r="F85" s="282"/>
      <c r="G85" s="282"/>
      <c r="H85" s="277"/>
    </row>
    <row r="86" spans="1:8" x14ac:dyDescent="0.2">
      <c r="A86" s="283">
        <v>0.58888888888888891</v>
      </c>
      <c r="B86" s="279">
        <v>3</v>
      </c>
      <c r="C86" s="280" t="e">
        <f>#REF!</f>
        <v>#REF!</v>
      </c>
      <c r="D86" s="281"/>
      <c r="E86" s="282"/>
      <c r="F86" s="282"/>
      <c r="G86" s="282"/>
      <c r="H86" s="277"/>
    </row>
    <row r="87" spans="1:8" x14ac:dyDescent="0.2">
      <c r="A87" s="284" t="s">
        <v>50</v>
      </c>
      <c r="B87" s="279">
        <v>4</v>
      </c>
      <c r="C87" s="280" t="e">
        <f>#REF!</f>
        <v>#REF!</v>
      </c>
      <c r="D87" s="281"/>
      <c r="E87" s="282"/>
      <c r="F87" s="282"/>
      <c r="G87" s="282"/>
      <c r="H87" s="277"/>
    </row>
    <row r="88" spans="1:8" x14ac:dyDescent="0.2">
      <c r="A88" s="284" t="s">
        <v>333</v>
      </c>
      <c r="B88" s="279">
        <v>5</v>
      </c>
      <c r="C88" s="280" t="e">
        <f>#REF!</f>
        <v>#REF!</v>
      </c>
      <c r="D88" s="281"/>
      <c r="E88" s="282"/>
      <c r="F88" s="282"/>
      <c r="G88" s="282"/>
      <c r="H88" s="277"/>
    </row>
    <row r="89" spans="1:8" x14ac:dyDescent="0.2">
      <c r="A89" s="285"/>
      <c r="B89" s="286">
        <v>6</v>
      </c>
      <c r="C89" s="302" t="e">
        <f>#REF!</f>
        <v>#REF!</v>
      </c>
      <c r="D89" s="303"/>
      <c r="E89" s="289"/>
      <c r="F89" s="289"/>
      <c r="G89" s="289"/>
      <c r="H89" s="290"/>
    </row>
    <row r="90" spans="1:8" x14ac:dyDescent="0.2">
      <c r="A90" s="296"/>
      <c r="B90" s="297">
        <v>1</v>
      </c>
      <c r="C90" s="300"/>
      <c r="D90" s="301"/>
      <c r="E90" s="304"/>
      <c r="F90" s="298"/>
      <c r="G90" s="298"/>
      <c r="H90" s="299"/>
    </row>
    <row r="91" spans="1:8" x14ac:dyDescent="0.2">
      <c r="A91" s="278">
        <v>14</v>
      </c>
      <c r="B91" s="279">
        <v>2</v>
      </c>
      <c r="C91" s="280" t="e">
        <f>#REF!</f>
        <v>#REF!</v>
      </c>
      <c r="D91" s="281"/>
      <c r="E91" s="281"/>
      <c r="F91" s="282"/>
      <c r="G91" s="282"/>
      <c r="H91" s="277"/>
    </row>
    <row r="92" spans="1:8" x14ac:dyDescent="0.2">
      <c r="A92" s="283">
        <v>0.59444444444444444</v>
      </c>
      <c r="B92" s="279">
        <v>3</v>
      </c>
      <c r="C92" s="280" t="e">
        <f>#REF!</f>
        <v>#REF!</v>
      </c>
      <c r="D92" s="281"/>
      <c r="E92" s="281"/>
      <c r="F92" s="282"/>
      <c r="G92" s="282"/>
      <c r="H92" s="277"/>
    </row>
    <row r="93" spans="1:8" x14ac:dyDescent="0.2">
      <c r="A93" s="284" t="s">
        <v>389</v>
      </c>
      <c r="B93" s="279">
        <v>4</v>
      </c>
      <c r="C93" s="280" t="e">
        <f>#REF!</f>
        <v>#REF!</v>
      </c>
      <c r="D93" s="281"/>
      <c r="E93" s="281"/>
      <c r="F93" s="282"/>
      <c r="G93" s="282"/>
      <c r="H93" s="277"/>
    </row>
    <row r="94" spans="1:8" x14ac:dyDescent="0.2">
      <c r="A94" s="284" t="s">
        <v>333</v>
      </c>
      <c r="B94" s="279">
        <v>5</v>
      </c>
      <c r="C94" s="280" t="e">
        <f>#REF!</f>
        <v>#REF!</v>
      </c>
      <c r="D94" s="281"/>
      <c r="E94" s="281"/>
      <c r="F94" s="282"/>
      <c r="G94" s="282"/>
      <c r="H94" s="277"/>
    </row>
    <row r="95" spans="1:8" x14ac:dyDescent="0.2">
      <c r="A95" s="285"/>
      <c r="B95" s="297">
        <v>6</v>
      </c>
      <c r="C95" s="302" t="e">
        <f>#REF!</f>
        <v>#REF!</v>
      </c>
      <c r="D95" s="303"/>
      <c r="E95" s="304"/>
      <c r="F95" s="298"/>
      <c r="G95" s="298"/>
      <c r="H95" s="290"/>
    </row>
    <row r="96" spans="1:8" x14ac:dyDescent="0.2">
      <c r="A96" s="305"/>
      <c r="B96" s="291">
        <v>1</v>
      </c>
      <c r="C96" s="300"/>
      <c r="D96" s="301"/>
      <c r="E96" s="294"/>
      <c r="F96" s="294"/>
      <c r="G96" s="294"/>
      <c r="H96" s="299"/>
    </row>
    <row r="97" spans="1:8" x14ac:dyDescent="0.2">
      <c r="A97" s="278">
        <v>15</v>
      </c>
      <c r="B97" s="279">
        <v>2</v>
      </c>
      <c r="C97" s="280" t="e">
        <f>#REF!</f>
        <v>#REF!</v>
      </c>
      <c r="D97" s="281"/>
      <c r="E97" s="282"/>
      <c r="F97" s="282"/>
      <c r="G97" s="282"/>
      <c r="H97" s="277"/>
    </row>
    <row r="98" spans="1:8" x14ac:dyDescent="0.2">
      <c r="A98" s="283">
        <v>0.6</v>
      </c>
      <c r="B98" s="279">
        <v>3</v>
      </c>
      <c r="C98" s="280" t="e">
        <f>#REF!</f>
        <v>#REF!</v>
      </c>
      <c r="D98" s="281"/>
      <c r="E98" s="282"/>
      <c r="F98" s="282"/>
      <c r="G98" s="282"/>
      <c r="H98" s="277"/>
    </row>
    <row r="99" spans="1:8" x14ac:dyDescent="0.2">
      <c r="A99" s="284" t="s">
        <v>388</v>
      </c>
      <c r="B99" s="279">
        <v>4</v>
      </c>
      <c r="C99" s="280" t="e">
        <f>#REF!</f>
        <v>#REF!</v>
      </c>
      <c r="D99" s="281"/>
      <c r="E99" s="282"/>
      <c r="F99" s="282"/>
      <c r="G99" s="282"/>
      <c r="H99" s="277"/>
    </row>
    <row r="100" spans="1:8" x14ac:dyDescent="0.2">
      <c r="A100" s="284" t="s">
        <v>390</v>
      </c>
      <c r="B100" s="279">
        <v>5</v>
      </c>
      <c r="C100" s="280" t="e">
        <f>#REF!</f>
        <v>#REF!</v>
      </c>
      <c r="D100" s="281"/>
      <c r="E100" s="282"/>
      <c r="F100" s="282"/>
      <c r="G100" s="282"/>
      <c r="H100" s="277"/>
    </row>
    <row r="101" spans="1:8" x14ac:dyDescent="0.2">
      <c r="A101" s="285" t="s">
        <v>42</v>
      </c>
      <c r="B101" s="286">
        <v>6</v>
      </c>
      <c r="C101" s="302" t="e">
        <f>#REF!</f>
        <v>#REF!</v>
      </c>
      <c r="D101" s="303"/>
      <c r="E101" s="289"/>
      <c r="F101" s="289"/>
      <c r="G101" s="289"/>
      <c r="H101" s="290"/>
    </row>
    <row r="102" spans="1:8" x14ac:dyDescent="0.2">
      <c r="A102" s="296"/>
      <c r="B102" s="297">
        <v>1</v>
      </c>
      <c r="C102" s="300" t="e">
        <f>#REF!</f>
        <v>#REF!</v>
      </c>
      <c r="D102" s="301"/>
      <c r="E102" s="298"/>
      <c r="F102" s="298"/>
      <c r="G102" s="298"/>
      <c r="H102" s="299"/>
    </row>
    <row r="103" spans="1:8" x14ac:dyDescent="0.2">
      <c r="A103" s="278">
        <v>16</v>
      </c>
      <c r="B103" s="279">
        <v>2</v>
      </c>
      <c r="C103" s="280" t="e">
        <f>#REF!</f>
        <v>#REF!</v>
      </c>
      <c r="D103" s="281"/>
      <c r="E103" s="282"/>
      <c r="F103" s="282"/>
      <c r="G103" s="282"/>
      <c r="H103" s="277"/>
    </row>
    <row r="104" spans="1:8" x14ac:dyDescent="0.2">
      <c r="A104" s="283">
        <v>0.60555555555555551</v>
      </c>
      <c r="B104" s="279">
        <v>3</v>
      </c>
      <c r="C104" s="280" t="e">
        <f>#REF!</f>
        <v>#REF!</v>
      </c>
      <c r="D104" s="281"/>
      <c r="E104" s="282"/>
      <c r="F104" s="282"/>
      <c r="G104" s="282"/>
      <c r="H104" s="277"/>
    </row>
    <row r="105" spans="1:8" x14ac:dyDescent="0.2">
      <c r="A105" s="284" t="s">
        <v>391</v>
      </c>
      <c r="B105" s="279">
        <v>4</v>
      </c>
      <c r="C105" s="280" t="e">
        <f>#REF!</f>
        <v>#REF!</v>
      </c>
      <c r="D105" s="281"/>
      <c r="E105" s="282"/>
      <c r="F105" s="282"/>
      <c r="G105" s="282"/>
      <c r="H105" s="277"/>
    </row>
    <row r="106" spans="1:8" x14ac:dyDescent="0.2">
      <c r="A106" s="284" t="s">
        <v>126</v>
      </c>
      <c r="B106" s="279">
        <v>5</v>
      </c>
      <c r="C106" s="280" t="e">
        <f>#REF!</f>
        <v>#REF!</v>
      </c>
      <c r="D106" s="281"/>
      <c r="E106" s="282"/>
      <c r="F106" s="282"/>
      <c r="G106" s="282"/>
      <c r="H106" s="277"/>
    </row>
    <row r="107" spans="1:8" x14ac:dyDescent="0.2">
      <c r="A107" s="285" t="s">
        <v>42</v>
      </c>
      <c r="B107" s="297">
        <v>6</v>
      </c>
      <c r="C107" s="302" t="e">
        <f>#REF!</f>
        <v>#REF!</v>
      </c>
      <c r="D107" s="303"/>
      <c r="E107" s="298"/>
      <c r="F107" s="298"/>
      <c r="G107" s="298"/>
      <c r="H107" s="290"/>
    </row>
    <row r="108" spans="1:8" x14ac:dyDescent="0.2">
      <c r="A108" s="305"/>
      <c r="B108" s="291">
        <v>1</v>
      </c>
      <c r="C108" s="300"/>
      <c r="D108" s="301"/>
      <c r="E108" s="294"/>
      <c r="F108" s="294"/>
      <c r="G108" s="294"/>
      <c r="H108" s="277"/>
    </row>
    <row r="109" spans="1:8" x14ac:dyDescent="0.2">
      <c r="A109" s="278">
        <v>17</v>
      </c>
      <c r="B109" s="279">
        <v>2</v>
      </c>
      <c r="C109" s="287"/>
      <c r="D109" s="281"/>
      <c r="E109" s="282"/>
      <c r="F109" s="282"/>
      <c r="G109" s="282"/>
      <c r="H109" s="277"/>
    </row>
    <row r="110" spans="1:8" x14ac:dyDescent="0.2">
      <c r="A110" s="283">
        <v>0.61111111111111105</v>
      </c>
      <c r="B110" s="279">
        <v>3</v>
      </c>
      <c r="C110" s="280"/>
      <c r="D110" s="281"/>
      <c r="E110" s="282"/>
      <c r="F110" s="282"/>
      <c r="G110" s="282"/>
      <c r="H110" s="277"/>
    </row>
    <row r="111" spans="1:8" x14ac:dyDescent="0.2">
      <c r="A111" s="284" t="s">
        <v>78</v>
      </c>
      <c r="B111" s="279">
        <v>4</v>
      </c>
      <c r="C111" s="280"/>
      <c r="D111" s="281"/>
      <c r="E111" s="282"/>
      <c r="F111" s="282"/>
      <c r="G111" s="282"/>
      <c r="H111" s="277"/>
    </row>
    <row r="112" spans="1:8" x14ac:dyDescent="0.2">
      <c r="A112" s="284" t="s">
        <v>392</v>
      </c>
      <c r="B112" s="279">
        <v>5</v>
      </c>
      <c r="C112" s="280"/>
      <c r="D112" s="281"/>
      <c r="E112" s="282"/>
      <c r="F112" s="282"/>
      <c r="G112" s="282"/>
      <c r="H112" s="277"/>
    </row>
    <row r="113" spans="1:8" x14ac:dyDescent="0.2">
      <c r="A113" s="285" t="s">
        <v>394</v>
      </c>
      <c r="B113" s="286">
        <v>6</v>
      </c>
      <c r="C113" s="302"/>
      <c r="D113" s="303"/>
      <c r="E113" s="289"/>
      <c r="F113" s="289"/>
      <c r="G113" s="289"/>
      <c r="H113" s="290"/>
    </row>
    <row r="114" spans="1:8" x14ac:dyDescent="0.2">
      <c r="A114" s="296"/>
      <c r="B114" s="306">
        <v>1</v>
      </c>
      <c r="C114" s="300"/>
      <c r="D114" s="307"/>
      <c r="E114" s="298"/>
      <c r="F114" s="298"/>
      <c r="G114" s="298"/>
      <c r="H114" s="299"/>
    </row>
    <row r="115" spans="1:8" x14ac:dyDescent="0.2">
      <c r="A115" s="278">
        <v>18</v>
      </c>
      <c r="B115" s="279">
        <v>2</v>
      </c>
      <c r="C115" s="287"/>
      <c r="D115" s="281"/>
      <c r="E115" s="282"/>
      <c r="F115" s="282"/>
      <c r="G115" s="282"/>
      <c r="H115" s="277"/>
    </row>
    <row r="116" spans="1:8" x14ac:dyDescent="0.2">
      <c r="A116" s="283">
        <v>0.6166666666666667</v>
      </c>
      <c r="B116" s="279">
        <v>3</v>
      </c>
      <c r="C116" s="280"/>
      <c r="D116" s="281"/>
      <c r="E116" s="282"/>
      <c r="F116" s="282"/>
      <c r="G116" s="282"/>
      <c r="H116" s="277"/>
    </row>
    <row r="117" spans="1:8" x14ac:dyDescent="0.2">
      <c r="A117" s="284" t="s">
        <v>78</v>
      </c>
      <c r="B117" s="279">
        <v>4</v>
      </c>
      <c r="C117" s="280"/>
      <c r="D117" s="281"/>
      <c r="E117" s="282"/>
      <c r="F117" s="282"/>
      <c r="G117" s="282"/>
      <c r="H117" s="277"/>
    </row>
    <row r="118" spans="1:8" x14ac:dyDescent="0.2">
      <c r="A118" s="284" t="s">
        <v>393</v>
      </c>
      <c r="B118" s="279">
        <v>5</v>
      </c>
      <c r="C118" s="280"/>
      <c r="D118" s="281"/>
      <c r="E118" s="282"/>
      <c r="F118" s="282"/>
      <c r="G118" s="282"/>
      <c r="H118" s="277"/>
    </row>
    <row r="119" spans="1:8" ht="13.5" thickBot="1" x14ac:dyDescent="0.25">
      <c r="A119" s="308" t="s">
        <v>395</v>
      </c>
      <c r="B119" s="309">
        <v>6</v>
      </c>
      <c r="C119" s="310"/>
      <c r="D119" s="311"/>
      <c r="E119" s="312"/>
      <c r="F119" s="312"/>
      <c r="G119" s="312"/>
      <c r="H119" s="313"/>
    </row>
    <row r="120" spans="1:8" x14ac:dyDescent="0.2">
      <c r="A120" s="263"/>
      <c r="B120" s="263"/>
      <c r="C120" s="263"/>
      <c r="D120" s="263"/>
      <c r="E120" s="263"/>
      <c r="F120" s="263"/>
      <c r="G120" s="263"/>
      <c r="H120" s="263"/>
    </row>
    <row r="121" spans="1:8" x14ac:dyDescent="0.2">
      <c r="A121" s="603" t="s">
        <v>59</v>
      </c>
      <c r="B121" s="603"/>
      <c r="C121" s="603"/>
      <c r="D121" s="603"/>
      <c r="E121" s="603"/>
      <c r="F121" s="603"/>
      <c r="G121" s="603"/>
      <c r="H121" s="603"/>
    </row>
    <row r="122" spans="1:8" ht="13.5" thickBot="1" x14ac:dyDescent="0.25">
      <c r="A122" s="263"/>
      <c r="B122" s="263"/>
      <c r="C122" s="263"/>
      <c r="D122" s="263"/>
      <c r="E122" s="263"/>
      <c r="F122" s="263"/>
      <c r="G122" s="263"/>
      <c r="H122" s="263"/>
    </row>
    <row r="123" spans="1:8" ht="13.5" customHeight="1" x14ac:dyDescent="0.2">
      <c r="A123" s="264" t="s">
        <v>346</v>
      </c>
      <c r="B123" s="590" t="s">
        <v>337</v>
      </c>
      <c r="C123" s="593" t="s">
        <v>356</v>
      </c>
      <c r="D123" s="265"/>
      <c r="E123" s="596" t="s">
        <v>349</v>
      </c>
      <c r="F123" s="599" t="s">
        <v>350</v>
      </c>
      <c r="G123" s="600"/>
      <c r="H123" s="266" t="s">
        <v>351</v>
      </c>
    </row>
    <row r="124" spans="1:8" x14ac:dyDescent="0.2">
      <c r="A124" s="267" t="s">
        <v>172</v>
      </c>
      <c r="B124" s="591"/>
      <c r="C124" s="594"/>
      <c r="D124" s="268"/>
      <c r="E124" s="597"/>
      <c r="F124" s="601" t="s">
        <v>116</v>
      </c>
      <c r="G124" s="601" t="s">
        <v>117</v>
      </c>
      <c r="H124" s="269" t="s">
        <v>353</v>
      </c>
    </row>
    <row r="125" spans="1:8" ht="13.5" thickBot="1" x14ac:dyDescent="0.25">
      <c r="A125" s="270" t="s">
        <v>354</v>
      </c>
      <c r="B125" s="592"/>
      <c r="C125" s="595"/>
      <c r="D125" s="271"/>
      <c r="E125" s="598"/>
      <c r="F125" s="602"/>
      <c r="G125" s="602"/>
      <c r="H125" s="272" t="s">
        <v>355</v>
      </c>
    </row>
    <row r="126" spans="1:8" ht="13.5" thickTop="1" x14ac:dyDescent="0.2">
      <c r="A126" s="267"/>
      <c r="B126" s="273">
        <v>1</v>
      </c>
      <c r="C126" s="274"/>
      <c r="D126" s="275"/>
      <c r="E126" s="276"/>
      <c r="F126" s="276"/>
      <c r="G126" s="276"/>
      <c r="H126" s="277"/>
    </row>
    <row r="127" spans="1:8" x14ac:dyDescent="0.2">
      <c r="A127" s="278">
        <v>19</v>
      </c>
      <c r="B127" s="279">
        <v>2</v>
      </c>
      <c r="C127" s="280"/>
      <c r="D127" s="281"/>
      <c r="E127" s="282"/>
      <c r="F127" s="282"/>
      <c r="G127" s="282"/>
      <c r="H127" s="277"/>
    </row>
    <row r="128" spans="1:8" x14ac:dyDescent="0.2">
      <c r="A128" s="283">
        <v>0.62222222222222223</v>
      </c>
      <c r="B128" s="279">
        <v>3</v>
      </c>
      <c r="C128" s="280"/>
      <c r="D128" s="281"/>
      <c r="E128" s="282"/>
      <c r="F128" s="282"/>
      <c r="G128" s="282"/>
      <c r="H128" s="277"/>
    </row>
    <row r="129" spans="1:8" x14ac:dyDescent="0.2">
      <c r="A129" s="284" t="s">
        <v>111</v>
      </c>
      <c r="B129" s="279">
        <v>4</v>
      </c>
      <c r="C129" s="280"/>
      <c r="D129" s="281"/>
      <c r="E129" s="282"/>
      <c r="F129" s="282"/>
      <c r="G129" s="282"/>
      <c r="H129" s="277"/>
    </row>
    <row r="130" spans="1:8" x14ac:dyDescent="0.2">
      <c r="A130" s="284" t="s">
        <v>115</v>
      </c>
      <c r="B130" s="279">
        <v>5</v>
      </c>
      <c r="C130" s="280"/>
      <c r="D130" s="281"/>
      <c r="E130" s="282"/>
      <c r="F130" s="282"/>
      <c r="G130" s="282"/>
      <c r="H130" s="277"/>
    </row>
    <row r="131" spans="1:8" ht="13.5" thickBot="1" x14ac:dyDescent="0.25">
      <c r="A131" s="284" t="s">
        <v>394</v>
      </c>
      <c r="B131" s="297">
        <v>6</v>
      </c>
      <c r="C131" s="287"/>
      <c r="D131" s="304"/>
      <c r="E131" s="298"/>
      <c r="F131" s="298"/>
      <c r="G131" s="298"/>
      <c r="H131" s="277"/>
    </row>
    <row r="132" spans="1:8" ht="13.5" thickTop="1" x14ac:dyDescent="0.2">
      <c r="A132" s="315"/>
      <c r="B132" s="273">
        <v>1</v>
      </c>
      <c r="C132" s="316"/>
      <c r="D132" s="317"/>
      <c r="E132" s="276"/>
      <c r="F132" s="276"/>
      <c r="G132" s="276"/>
      <c r="H132" s="318"/>
    </row>
    <row r="133" spans="1:8" x14ac:dyDescent="0.2">
      <c r="A133" s="278">
        <v>20</v>
      </c>
      <c r="B133" s="279">
        <v>2</v>
      </c>
      <c r="C133" s="280"/>
      <c r="D133" s="281"/>
      <c r="E133" s="282"/>
      <c r="F133" s="282"/>
      <c r="G133" s="282"/>
      <c r="H133" s="277"/>
    </row>
    <row r="134" spans="1:8" x14ac:dyDescent="0.2">
      <c r="A134" s="283">
        <v>0.62777777777777777</v>
      </c>
      <c r="B134" s="279">
        <v>3</v>
      </c>
      <c r="C134" s="280"/>
      <c r="D134" s="281"/>
      <c r="E134" s="282"/>
      <c r="F134" s="282"/>
      <c r="G134" s="282"/>
      <c r="H134" s="277"/>
    </row>
    <row r="135" spans="1:8" x14ac:dyDescent="0.2">
      <c r="A135" s="284" t="s">
        <v>111</v>
      </c>
      <c r="B135" s="279">
        <v>4</v>
      </c>
      <c r="C135" s="280"/>
      <c r="D135" s="281"/>
      <c r="E135" s="282"/>
      <c r="F135" s="282"/>
      <c r="G135" s="282"/>
      <c r="H135" s="277"/>
    </row>
    <row r="136" spans="1:8" x14ac:dyDescent="0.2">
      <c r="A136" s="284" t="s">
        <v>7</v>
      </c>
      <c r="B136" s="279">
        <v>5</v>
      </c>
      <c r="C136" s="280"/>
      <c r="D136" s="281"/>
      <c r="E136" s="282"/>
      <c r="F136" s="282"/>
      <c r="G136" s="282"/>
      <c r="H136" s="277"/>
    </row>
    <row r="137" spans="1:8" x14ac:dyDescent="0.2">
      <c r="A137" s="285" t="s">
        <v>396</v>
      </c>
      <c r="B137" s="286">
        <v>6</v>
      </c>
      <c r="C137" s="295"/>
      <c r="D137" s="288"/>
      <c r="E137" s="289"/>
      <c r="F137" s="289"/>
      <c r="G137" s="289"/>
      <c r="H137" s="290"/>
    </row>
    <row r="138" spans="1:8" x14ac:dyDescent="0.2">
      <c r="A138" s="296"/>
      <c r="B138" s="297">
        <v>1</v>
      </c>
      <c r="C138" s="280"/>
      <c r="D138" s="281"/>
      <c r="E138" s="298"/>
      <c r="F138" s="298"/>
      <c r="G138" s="298"/>
      <c r="H138" s="299"/>
    </row>
    <row r="139" spans="1:8" x14ac:dyDescent="0.2">
      <c r="A139" s="278">
        <v>21</v>
      </c>
      <c r="B139" s="279">
        <v>2</v>
      </c>
      <c r="C139" s="280"/>
      <c r="D139" s="281"/>
      <c r="E139" s="282"/>
      <c r="F139" s="282"/>
      <c r="G139" s="282"/>
      <c r="H139" s="277"/>
    </row>
    <row r="140" spans="1:8" x14ac:dyDescent="0.2">
      <c r="A140" s="283">
        <v>0.6333333333333333</v>
      </c>
      <c r="B140" s="279">
        <v>3</v>
      </c>
      <c r="C140" s="280"/>
      <c r="D140" s="281"/>
      <c r="E140" s="282"/>
      <c r="F140" s="282"/>
      <c r="G140" s="282"/>
      <c r="H140" s="277"/>
    </row>
    <row r="141" spans="1:8" x14ac:dyDescent="0.2">
      <c r="A141" s="284" t="s">
        <v>30</v>
      </c>
      <c r="B141" s="279">
        <v>4</v>
      </c>
      <c r="C141" s="280"/>
      <c r="D141" s="281"/>
      <c r="E141" s="282"/>
      <c r="F141" s="282"/>
      <c r="G141" s="282"/>
      <c r="H141" s="277"/>
    </row>
    <row r="142" spans="1:8" x14ac:dyDescent="0.2">
      <c r="A142" s="284" t="s">
        <v>113</v>
      </c>
      <c r="B142" s="279">
        <v>5</v>
      </c>
      <c r="C142" s="280"/>
      <c r="D142" s="281"/>
      <c r="E142" s="282"/>
      <c r="F142" s="282"/>
      <c r="G142" s="282"/>
      <c r="H142" s="277"/>
    </row>
    <row r="143" spans="1:8" x14ac:dyDescent="0.2">
      <c r="A143" s="285" t="s">
        <v>6</v>
      </c>
      <c r="B143" s="297">
        <v>6</v>
      </c>
      <c r="C143" s="280"/>
      <c r="D143" s="281"/>
      <c r="E143" s="298"/>
      <c r="F143" s="298"/>
      <c r="G143" s="298"/>
      <c r="H143" s="290"/>
    </row>
    <row r="144" spans="1:8" x14ac:dyDescent="0.2">
      <c r="A144" s="296"/>
      <c r="B144" s="291">
        <v>1</v>
      </c>
      <c r="C144" s="300"/>
      <c r="D144" s="301"/>
      <c r="E144" s="294"/>
      <c r="F144" s="294"/>
      <c r="G144" s="294"/>
      <c r="H144" s="299"/>
    </row>
    <row r="145" spans="1:8" x14ac:dyDescent="0.2">
      <c r="A145" s="278">
        <v>22</v>
      </c>
      <c r="B145" s="279">
        <v>2</v>
      </c>
      <c r="C145" s="280"/>
      <c r="D145" s="281"/>
      <c r="E145" s="282"/>
      <c r="F145" s="282"/>
      <c r="G145" s="282"/>
      <c r="H145" s="277"/>
    </row>
    <row r="146" spans="1:8" x14ac:dyDescent="0.2">
      <c r="A146" s="283">
        <v>0.63888888888888895</v>
      </c>
      <c r="B146" s="279">
        <v>3</v>
      </c>
      <c r="C146" s="280"/>
      <c r="D146" s="281"/>
      <c r="E146" s="282"/>
      <c r="F146" s="282"/>
      <c r="G146" s="282"/>
      <c r="H146" s="277"/>
    </row>
    <row r="147" spans="1:8" x14ac:dyDescent="0.2">
      <c r="A147" s="284" t="s">
        <v>30</v>
      </c>
      <c r="B147" s="279">
        <v>4</v>
      </c>
      <c r="C147" s="280"/>
      <c r="D147" s="281"/>
      <c r="E147" s="282"/>
      <c r="F147" s="282"/>
      <c r="G147" s="282"/>
      <c r="H147" s="277"/>
    </row>
    <row r="148" spans="1:8" x14ac:dyDescent="0.2">
      <c r="A148" s="284" t="s">
        <v>114</v>
      </c>
      <c r="B148" s="279">
        <v>5</v>
      </c>
      <c r="C148" s="280"/>
      <c r="D148" s="281"/>
      <c r="E148" s="282"/>
      <c r="F148" s="282"/>
      <c r="G148" s="282"/>
      <c r="H148" s="277"/>
    </row>
    <row r="149" spans="1:8" ht="13.5" thickBot="1" x14ac:dyDescent="0.25">
      <c r="A149" s="319" t="s">
        <v>6</v>
      </c>
      <c r="B149" s="320">
        <v>6</v>
      </c>
      <c r="C149" s="321"/>
      <c r="D149" s="322"/>
      <c r="E149" s="323"/>
      <c r="F149" s="323"/>
      <c r="G149" s="323"/>
      <c r="H149" s="324"/>
    </row>
    <row r="150" spans="1:8" ht="13.5" thickTop="1" x14ac:dyDescent="0.2">
      <c r="A150" s="284"/>
      <c r="B150" s="297">
        <v>1</v>
      </c>
      <c r="C150" s="325"/>
      <c r="D150" s="326"/>
      <c r="E150" s="304"/>
      <c r="F150" s="298"/>
      <c r="G150" s="298"/>
      <c r="H150" s="277"/>
    </row>
    <row r="151" spans="1:8" x14ac:dyDescent="0.2">
      <c r="A151" s="278">
        <v>23</v>
      </c>
      <c r="B151" s="279">
        <v>2</v>
      </c>
      <c r="C151" s="280"/>
      <c r="D151" s="281"/>
      <c r="E151" s="281"/>
      <c r="F151" s="282"/>
      <c r="G151" s="282"/>
      <c r="H151" s="277"/>
    </row>
    <row r="152" spans="1:8" x14ac:dyDescent="0.2">
      <c r="A152" s="283">
        <v>0.375</v>
      </c>
      <c r="B152" s="279">
        <v>3</v>
      </c>
      <c r="C152" s="280"/>
      <c r="D152" s="281"/>
      <c r="E152" s="281"/>
      <c r="F152" s="282"/>
      <c r="G152" s="282"/>
      <c r="H152" s="277"/>
    </row>
    <row r="153" spans="1:8" x14ac:dyDescent="0.2">
      <c r="A153" s="284" t="s">
        <v>29</v>
      </c>
      <c r="B153" s="279">
        <v>4</v>
      </c>
      <c r="C153" s="280"/>
      <c r="D153" s="281"/>
      <c r="E153" s="281"/>
      <c r="F153" s="282"/>
      <c r="G153" s="282"/>
      <c r="H153" s="277"/>
    </row>
    <row r="154" spans="1:8" x14ac:dyDescent="0.2">
      <c r="A154" s="284" t="s">
        <v>397</v>
      </c>
      <c r="B154" s="279">
        <v>5</v>
      </c>
      <c r="C154" s="280"/>
      <c r="D154" s="281"/>
      <c r="E154" s="281"/>
      <c r="F154" s="282"/>
      <c r="G154" s="282"/>
      <c r="H154" s="277"/>
    </row>
    <row r="155" spans="1:8" x14ac:dyDescent="0.2">
      <c r="A155" s="285" t="s">
        <v>6</v>
      </c>
      <c r="B155" s="297">
        <v>6</v>
      </c>
      <c r="C155" s="302"/>
      <c r="D155" s="303"/>
      <c r="E155" s="304"/>
      <c r="F155" s="298"/>
      <c r="G155" s="298"/>
      <c r="H155" s="290"/>
    </row>
    <row r="156" spans="1:8" x14ac:dyDescent="0.2">
      <c r="A156" s="305"/>
      <c r="B156" s="291">
        <v>1</v>
      </c>
      <c r="C156" s="300"/>
      <c r="D156" s="301"/>
      <c r="E156" s="294"/>
      <c r="F156" s="294"/>
      <c r="G156" s="294"/>
      <c r="H156" s="299"/>
    </row>
    <row r="157" spans="1:8" x14ac:dyDescent="0.2">
      <c r="A157" s="278">
        <v>24</v>
      </c>
      <c r="B157" s="279">
        <v>2</v>
      </c>
      <c r="C157" s="280"/>
      <c r="D157" s="281"/>
      <c r="E157" s="282"/>
      <c r="F157" s="282"/>
      <c r="G157" s="282"/>
      <c r="H157" s="277"/>
    </row>
    <row r="158" spans="1:8" x14ac:dyDescent="0.2">
      <c r="A158" s="283">
        <v>0.38055555555555554</v>
      </c>
      <c r="B158" s="279">
        <v>3</v>
      </c>
      <c r="C158" s="280"/>
      <c r="D158" s="281"/>
      <c r="E158" s="282"/>
      <c r="F158" s="282"/>
      <c r="G158" s="282"/>
      <c r="H158" s="277"/>
    </row>
    <row r="159" spans="1:8" x14ac:dyDescent="0.2">
      <c r="A159" s="284" t="s">
        <v>398</v>
      </c>
      <c r="B159" s="279">
        <v>4</v>
      </c>
      <c r="C159" s="280"/>
      <c r="D159" s="281"/>
      <c r="E159" s="282"/>
      <c r="F159" s="282"/>
      <c r="G159" s="282"/>
      <c r="H159" s="277"/>
    </row>
    <row r="160" spans="1:8" x14ac:dyDescent="0.2">
      <c r="A160" s="284" t="s">
        <v>114</v>
      </c>
      <c r="B160" s="279">
        <v>5</v>
      </c>
      <c r="C160" s="280"/>
      <c r="D160" s="281"/>
      <c r="E160" s="282"/>
      <c r="F160" s="282"/>
      <c r="G160" s="282"/>
      <c r="H160" s="277"/>
    </row>
    <row r="161" spans="1:8" x14ac:dyDescent="0.2">
      <c r="A161" s="285" t="s">
        <v>6</v>
      </c>
      <c r="B161" s="286">
        <v>6</v>
      </c>
      <c r="C161" s="302"/>
      <c r="D161" s="303"/>
      <c r="E161" s="289"/>
      <c r="F161" s="289"/>
      <c r="G161" s="289"/>
      <c r="H161" s="290"/>
    </row>
    <row r="162" spans="1:8" x14ac:dyDescent="0.2">
      <c r="A162" s="296"/>
      <c r="B162" s="297">
        <v>1</v>
      </c>
      <c r="C162" s="300"/>
      <c r="D162" s="301"/>
      <c r="E162" s="298"/>
      <c r="F162" s="298"/>
      <c r="G162" s="298"/>
      <c r="H162" s="299"/>
    </row>
    <row r="163" spans="1:8" x14ac:dyDescent="0.2">
      <c r="A163" s="278">
        <v>25</v>
      </c>
      <c r="B163" s="279">
        <v>2</v>
      </c>
      <c r="C163" s="280"/>
      <c r="D163" s="281"/>
      <c r="E163" s="282"/>
      <c r="F163" s="282"/>
      <c r="G163" s="282"/>
      <c r="H163" s="277"/>
    </row>
    <row r="164" spans="1:8" x14ac:dyDescent="0.2">
      <c r="A164" s="283">
        <v>0.38611111111111113</v>
      </c>
      <c r="B164" s="279">
        <v>3</v>
      </c>
      <c r="C164" s="280"/>
      <c r="D164" s="281"/>
      <c r="E164" s="282"/>
      <c r="F164" s="282"/>
      <c r="G164" s="282"/>
      <c r="H164" s="277"/>
    </row>
    <row r="165" spans="1:8" x14ac:dyDescent="0.2">
      <c r="A165" s="284" t="s">
        <v>111</v>
      </c>
      <c r="B165" s="279">
        <v>4</v>
      </c>
      <c r="C165" s="280"/>
      <c r="D165" s="281"/>
      <c r="E165" s="282"/>
      <c r="F165" s="282"/>
      <c r="G165" s="282"/>
      <c r="H165" s="277"/>
    </row>
    <row r="166" spans="1:8" x14ac:dyDescent="0.2">
      <c r="A166" s="284" t="s">
        <v>399</v>
      </c>
      <c r="B166" s="279">
        <v>5</v>
      </c>
      <c r="C166" s="280"/>
      <c r="D166" s="281"/>
      <c r="E166" s="282"/>
      <c r="F166" s="282"/>
      <c r="G166" s="282"/>
      <c r="H166" s="277"/>
    </row>
    <row r="167" spans="1:8" x14ac:dyDescent="0.2">
      <c r="A167" s="285" t="s">
        <v>6</v>
      </c>
      <c r="B167" s="297">
        <v>6</v>
      </c>
      <c r="C167" s="302"/>
      <c r="D167" s="303"/>
      <c r="E167" s="298"/>
      <c r="F167" s="298"/>
      <c r="G167" s="298"/>
      <c r="H167" s="290"/>
    </row>
    <row r="168" spans="1:8" x14ac:dyDescent="0.2">
      <c r="A168" s="305"/>
      <c r="B168" s="291">
        <v>1</v>
      </c>
      <c r="C168" s="300"/>
      <c r="D168" s="301"/>
      <c r="E168" s="294"/>
      <c r="F168" s="294"/>
      <c r="G168" s="294"/>
      <c r="H168" s="277"/>
    </row>
    <row r="169" spans="1:8" x14ac:dyDescent="0.2">
      <c r="A169" s="278">
        <v>26</v>
      </c>
      <c r="B169" s="279">
        <v>2</v>
      </c>
      <c r="C169" s="280"/>
      <c r="D169" s="281"/>
      <c r="E169" s="282"/>
      <c r="F169" s="282"/>
      <c r="G169" s="282"/>
      <c r="H169" s="277"/>
    </row>
    <row r="170" spans="1:8" x14ac:dyDescent="0.2">
      <c r="A170" s="283">
        <v>0.39166666666666666</v>
      </c>
      <c r="B170" s="279">
        <v>3</v>
      </c>
      <c r="C170" s="280"/>
      <c r="D170" s="281"/>
      <c r="E170" s="282"/>
      <c r="F170" s="282"/>
      <c r="G170" s="282"/>
      <c r="H170" s="277"/>
    </row>
    <row r="171" spans="1:8" x14ac:dyDescent="0.2">
      <c r="A171" s="284" t="s">
        <v>111</v>
      </c>
      <c r="B171" s="279">
        <v>4</v>
      </c>
      <c r="C171" s="280"/>
      <c r="D171" s="281"/>
      <c r="E171" s="282"/>
      <c r="F171" s="282"/>
      <c r="G171" s="282"/>
      <c r="H171" s="277"/>
    </row>
    <row r="172" spans="1:8" x14ac:dyDescent="0.2">
      <c r="A172" s="284" t="s">
        <v>400</v>
      </c>
      <c r="B172" s="279">
        <v>5</v>
      </c>
      <c r="C172" s="280"/>
      <c r="D172" s="281"/>
      <c r="E172" s="282"/>
      <c r="F172" s="282"/>
      <c r="G172" s="282"/>
      <c r="H172" s="277"/>
    </row>
    <row r="173" spans="1:8" x14ac:dyDescent="0.2">
      <c r="A173" s="285" t="s">
        <v>42</v>
      </c>
      <c r="B173" s="286">
        <v>6</v>
      </c>
      <c r="C173" s="302"/>
      <c r="D173" s="303"/>
      <c r="E173" s="289"/>
      <c r="F173" s="289"/>
      <c r="G173" s="289"/>
      <c r="H173" s="290"/>
    </row>
    <row r="174" spans="1:8" x14ac:dyDescent="0.2">
      <c r="A174" s="296"/>
      <c r="B174" s="306">
        <v>1</v>
      </c>
      <c r="C174" s="300"/>
      <c r="D174" s="307"/>
      <c r="E174" s="298"/>
      <c r="F174" s="298"/>
      <c r="G174" s="298"/>
      <c r="H174" s="299"/>
    </row>
    <row r="175" spans="1:8" x14ac:dyDescent="0.2">
      <c r="A175" s="278">
        <v>27</v>
      </c>
      <c r="B175" s="279">
        <v>2</v>
      </c>
      <c r="C175" s="287"/>
      <c r="D175" s="281"/>
      <c r="E175" s="282"/>
      <c r="F175" s="282"/>
      <c r="G175" s="282"/>
      <c r="H175" s="277"/>
    </row>
    <row r="176" spans="1:8" x14ac:dyDescent="0.2">
      <c r="A176" s="283">
        <v>0.3972222222222222</v>
      </c>
      <c r="B176" s="279">
        <v>3</v>
      </c>
      <c r="C176" s="280"/>
      <c r="D176" s="281"/>
      <c r="E176" s="282"/>
      <c r="F176" s="282"/>
      <c r="G176" s="282"/>
      <c r="H176" s="277"/>
    </row>
    <row r="177" spans="1:8" x14ac:dyDescent="0.2">
      <c r="A177" s="284" t="s">
        <v>111</v>
      </c>
      <c r="B177" s="279">
        <v>4</v>
      </c>
      <c r="C177" s="280"/>
      <c r="D177" s="281"/>
      <c r="E177" s="282"/>
      <c r="F177" s="282"/>
      <c r="G177" s="282"/>
      <c r="H177" s="277"/>
    </row>
    <row r="178" spans="1:8" x14ac:dyDescent="0.2">
      <c r="A178" s="284" t="s">
        <v>401</v>
      </c>
      <c r="B178" s="279">
        <v>5</v>
      </c>
      <c r="C178" s="280"/>
      <c r="D178" s="281"/>
      <c r="E178" s="282"/>
      <c r="F178" s="282"/>
      <c r="G178" s="282"/>
      <c r="H178" s="277"/>
    </row>
    <row r="179" spans="1:8" ht="13.5" thickBot="1" x14ac:dyDescent="0.25">
      <c r="A179" s="308" t="s">
        <v>6</v>
      </c>
      <c r="B179" s="309">
        <v>6</v>
      </c>
      <c r="C179" s="310"/>
      <c r="D179" s="311"/>
      <c r="E179" s="312"/>
      <c r="F179" s="312"/>
      <c r="G179" s="312"/>
      <c r="H179" s="313"/>
    </row>
    <row r="180" spans="1:8" x14ac:dyDescent="0.2">
      <c r="A180" s="327"/>
      <c r="B180" s="327"/>
      <c r="C180" s="263"/>
      <c r="D180" s="263"/>
      <c r="E180" s="263"/>
      <c r="F180" s="263"/>
      <c r="G180" s="263"/>
      <c r="H180" s="263"/>
    </row>
    <row r="181" spans="1:8" x14ac:dyDescent="0.2">
      <c r="A181" s="603" t="s">
        <v>59</v>
      </c>
      <c r="B181" s="603"/>
      <c r="C181" s="603"/>
      <c r="D181" s="603"/>
      <c r="E181" s="603"/>
      <c r="F181" s="603"/>
      <c r="G181" s="603"/>
      <c r="H181" s="603"/>
    </row>
    <row r="182" spans="1:8" ht="13.5" thickBot="1" x14ac:dyDescent="0.25">
      <c r="A182" s="263"/>
      <c r="B182" s="263"/>
      <c r="C182" s="263"/>
      <c r="D182" s="263"/>
      <c r="E182" s="263"/>
      <c r="F182" s="263"/>
      <c r="G182" s="263"/>
      <c r="H182" s="263"/>
    </row>
    <row r="183" spans="1:8" ht="13.5" customHeight="1" x14ac:dyDescent="0.2">
      <c r="A183" s="264" t="s">
        <v>346</v>
      </c>
      <c r="B183" s="590" t="s">
        <v>337</v>
      </c>
      <c r="C183" s="593" t="s">
        <v>356</v>
      </c>
      <c r="D183" s="265"/>
      <c r="E183" s="596" t="s">
        <v>349</v>
      </c>
      <c r="F183" s="599" t="s">
        <v>350</v>
      </c>
      <c r="G183" s="600"/>
      <c r="H183" s="266" t="s">
        <v>351</v>
      </c>
    </row>
    <row r="184" spans="1:8" x14ac:dyDescent="0.2">
      <c r="A184" s="267" t="s">
        <v>172</v>
      </c>
      <c r="B184" s="591"/>
      <c r="C184" s="594"/>
      <c r="D184" s="268"/>
      <c r="E184" s="597"/>
      <c r="F184" s="601" t="s">
        <v>116</v>
      </c>
      <c r="G184" s="601" t="s">
        <v>117</v>
      </c>
      <c r="H184" s="269" t="s">
        <v>353</v>
      </c>
    </row>
    <row r="185" spans="1:8" ht="13.5" thickBot="1" x14ac:dyDescent="0.25">
      <c r="A185" s="270" t="s">
        <v>354</v>
      </c>
      <c r="B185" s="592"/>
      <c r="C185" s="595"/>
      <c r="D185" s="271"/>
      <c r="E185" s="598"/>
      <c r="F185" s="602"/>
      <c r="G185" s="602"/>
      <c r="H185" s="272" t="s">
        <v>355</v>
      </c>
    </row>
    <row r="186" spans="1:8" ht="13.5" thickTop="1" x14ac:dyDescent="0.2">
      <c r="A186" s="267"/>
      <c r="B186" s="273">
        <v>1</v>
      </c>
      <c r="C186" s="274"/>
      <c r="D186" s="275"/>
      <c r="E186" s="276"/>
      <c r="F186" s="276"/>
      <c r="G186" s="276"/>
      <c r="H186" s="277"/>
    </row>
    <row r="187" spans="1:8" x14ac:dyDescent="0.2">
      <c r="A187" s="278">
        <v>28</v>
      </c>
      <c r="B187" s="279">
        <v>2</v>
      </c>
      <c r="C187" s="280"/>
      <c r="D187" s="281"/>
      <c r="E187" s="282"/>
      <c r="F187" s="282"/>
      <c r="G187" s="282"/>
      <c r="H187" s="277"/>
    </row>
    <row r="188" spans="1:8" x14ac:dyDescent="0.2">
      <c r="A188" s="283">
        <v>0.40277777777777773</v>
      </c>
      <c r="B188" s="279">
        <v>3</v>
      </c>
      <c r="C188" s="280"/>
      <c r="D188" s="281"/>
      <c r="E188" s="282"/>
      <c r="F188" s="282"/>
      <c r="G188" s="282"/>
      <c r="H188" s="277"/>
    </row>
    <row r="189" spans="1:8" x14ac:dyDescent="0.2">
      <c r="A189" s="284" t="s">
        <v>30</v>
      </c>
      <c r="B189" s="279">
        <v>4</v>
      </c>
      <c r="C189" s="280"/>
      <c r="D189" s="281"/>
      <c r="E189" s="282"/>
      <c r="F189" s="282"/>
      <c r="G189" s="282"/>
      <c r="H189" s="277"/>
    </row>
    <row r="190" spans="1:8" x14ac:dyDescent="0.2">
      <c r="A190" s="284" t="s">
        <v>399</v>
      </c>
      <c r="B190" s="279">
        <v>5</v>
      </c>
      <c r="C190" s="280"/>
      <c r="D190" s="281"/>
      <c r="E190" s="282"/>
      <c r="F190" s="282"/>
      <c r="G190" s="282"/>
      <c r="H190" s="277"/>
    </row>
    <row r="191" spans="1:8" x14ac:dyDescent="0.2">
      <c r="A191" s="285" t="s">
        <v>6</v>
      </c>
      <c r="B191" s="286">
        <v>6</v>
      </c>
      <c r="C191" s="295"/>
      <c r="D191" s="288"/>
      <c r="E191" s="289"/>
      <c r="F191" s="289"/>
      <c r="G191" s="289"/>
      <c r="H191" s="290"/>
    </row>
    <row r="192" spans="1:8" x14ac:dyDescent="0.2">
      <c r="A192" s="284"/>
      <c r="B192" s="297">
        <v>1</v>
      </c>
      <c r="C192" s="287"/>
      <c r="D192" s="304"/>
      <c r="E192" s="298"/>
      <c r="F192" s="298"/>
      <c r="G192" s="298"/>
      <c r="H192" s="277"/>
    </row>
    <row r="193" spans="1:8" x14ac:dyDescent="0.2">
      <c r="A193" s="278">
        <v>29</v>
      </c>
      <c r="B193" s="279">
        <v>2</v>
      </c>
      <c r="C193" s="280"/>
      <c r="D193" s="281"/>
      <c r="E193" s="282"/>
      <c r="F193" s="282"/>
      <c r="G193" s="282"/>
      <c r="H193" s="277"/>
    </row>
    <row r="194" spans="1:8" x14ac:dyDescent="0.2">
      <c r="A194" s="283">
        <v>0.40833333333333338</v>
      </c>
      <c r="B194" s="279">
        <v>3</v>
      </c>
      <c r="C194" s="280"/>
      <c r="D194" s="281"/>
      <c r="E194" s="282"/>
      <c r="F194" s="282"/>
      <c r="G194" s="282"/>
      <c r="H194" s="277"/>
    </row>
    <row r="195" spans="1:8" x14ac:dyDescent="0.2">
      <c r="A195" s="284" t="s">
        <v>402</v>
      </c>
      <c r="B195" s="279">
        <v>4</v>
      </c>
      <c r="C195" s="280"/>
      <c r="D195" s="281"/>
      <c r="E195" s="282"/>
      <c r="F195" s="282"/>
      <c r="G195" s="282"/>
      <c r="H195" s="277"/>
    </row>
    <row r="196" spans="1:8" x14ac:dyDescent="0.2">
      <c r="A196" s="284" t="s">
        <v>400</v>
      </c>
      <c r="B196" s="279">
        <v>5</v>
      </c>
      <c r="C196" s="280"/>
      <c r="D196" s="281"/>
      <c r="E196" s="282"/>
      <c r="F196" s="282"/>
      <c r="G196" s="282"/>
      <c r="H196" s="277"/>
    </row>
    <row r="197" spans="1:8" x14ac:dyDescent="0.2">
      <c r="A197" s="285" t="s">
        <v>42</v>
      </c>
      <c r="B197" s="328">
        <v>6</v>
      </c>
      <c r="C197" s="295"/>
      <c r="D197" s="288"/>
      <c r="E197" s="289"/>
      <c r="F197" s="289"/>
      <c r="G197" s="289"/>
      <c r="H197" s="290"/>
    </row>
    <row r="198" spans="1:8" x14ac:dyDescent="0.2">
      <c r="A198" s="296"/>
      <c r="B198" s="297">
        <v>1</v>
      </c>
      <c r="C198" s="280"/>
      <c r="D198" s="281"/>
      <c r="E198" s="298"/>
      <c r="F198" s="298"/>
      <c r="G198" s="298"/>
      <c r="H198" s="299"/>
    </row>
    <row r="199" spans="1:8" x14ac:dyDescent="0.2">
      <c r="A199" s="278">
        <v>30</v>
      </c>
      <c r="B199" s="279">
        <v>2</v>
      </c>
      <c r="C199" s="280"/>
      <c r="D199" s="281"/>
      <c r="E199" s="282"/>
      <c r="F199" s="282"/>
      <c r="G199" s="282"/>
      <c r="H199" s="277"/>
    </row>
    <row r="200" spans="1:8" x14ac:dyDescent="0.2">
      <c r="A200" s="283">
        <v>0.41388888888888892</v>
      </c>
      <c r="B200" s="279">
        <v>3</v>
      </c>
      <c r="C200" s="280"/>
      <c r="D200" s="281"/>
      <c r="E200" s="282"/>
      <c r="F200" s="282"/>
      <c r="G200" s="282"/>
      <c r="H200" s="277"/>
    </row>
    <row r="201" spans="1:8" x14ac:dyDescent="0.2">
      <c r="A201" s="284" t="s">
        <v>30</v>
      </c>
      <c r="B201" s="279">
        <v>4</v>
      </c>
      <c r="C201" s="280"/>
      <c r="D201" s="281"/>
      <c r="E201" s="282"/>
      <c r="F201" s="282"/>
      <c r="G201" s="282"/>
      <c r="H201" s="277"/>
    </row>
    <row r="202" spans="1:8" x14ac:dyDescent="0.2">
      <c r="A202" s="284" t="s">
        <v>403</v>
      </c>
      <c r="B202" s="279">
        <v>5</v>
      </c>
      <c r="C202" s="280"/>
      <c r="D202" s="281"/>
      <c r="E202" s="282"/>
      <c r="F202" s="282"/>
      <c r="G202" s="282"/>
      <c r="H202" s="277"/>
    </row>
    <row r="203" spans="1:8" x14ac:dyDescent="0.2">
      <c r="A203" s="285" t="s">
        <v>31</v>
      </c>
      <c r="B203" s="297">
        <v>6</v>
      </c>
      <c r="C203" s="280"/>
      <c r="D203" s="281"/>
      <c r="E203" s="298"/>
      <c r="F203" s="298"/>
      <c r="G203" s="298"/>
      <c r="H203" s="290"/>
    </row>
    <row r="204" spans="1:8" x14ac:dyDescent="0.2">
      <c r="A204" s="296"/>
      <c r="B204" s="291">
        <v>1</v>
      </c>
      <c r="C204" s="300"/>
      <c r="D204" s="301"/>
      <c r="E204" s="294"/>
      <c r="F204" s="294"/>
      <c r="G204" s="294"/>
      <c r="H204" s="299"/>
    </row>
    <row r="205" spans="1:8" x14ac:dyDescent="0.2">
      <c r="A205" s="278">
        <v>31</v>
      </c>
      <c r="B205" s="279">
        <v>2</v>
      </c>
      <c r="C205" s="280"/>
      <c r="D205" s="281"/>
      <c r="E205" s="282"/>
      <c r="F205" s="282"/>
      <c r="G205" s="282"/>
      <c r="H205" s="277"/>
    </row>
    <row r="206" spans="1:8" x14ac:dyDescent="0.2">
      <c r="A206" s="283">
        <v>0.41944444444444445</v>
      </c>
      <c r="B206" s="279">
        <v>3</v>
      </c>
      <c r="C206" s="280"/>
      <c r="D206" s="281"/>
      <c r="E206" s="282"/>
      <c r="F206" s="282"/>
      <c r="G206" s="282"/>
      <c r="H206" s="277"/>
    </row>
    <row r="207" spans="1:8" x14ac:dyDescent="0.2">
      <c r="A207" s="284" t="s">
        <v>388</v>
      </c>
      <c r="B207" s="279">
        <v>4</v>
      </c>
      <c r="C207" s="280"/>
      <c r="D207" s="281"/>
      <c r="E207" s="282"/>
      <c r="F207" s="282"/>
      <c r="G207" s="282"/>
      <c r="H207" s="277"/>
    </row>
    <row r="208" spans="1:8" x14ac:dyDescent="0.2">
      <c r="A208" s="284" t="s">
        <v>404</v>
      </c>
      <c r="B208" s="279">
        <v>5</v>
      </c>
      <c r="C208" s="280"/>
      <c r="D208" s="281"/>
      <c r="E208" s="282"/>
      <c r="F208" s="282"/>
      <c r="G208" s="282"/>
      <c r="H208" s="277"/>
    </row>
    <row r="209" spans="1:8" x14ac:dyDescent="0.2">
      <c r="A209" s="284" t="s">
        <v>394</v>
      </c>
      <c r="B209" s="297">
        <v>6</v>
      </c>
      <c r="C209" s="329"/>
      <c r="D209" s="330"/>
      <c r="E209" s="298"/>
      <c r="F209" s="298"/>
      <c r="G209" s="298"/>
      <c r="H209" s="277"/>
    </row>
    <row r="210" spans="1:8" x14ac:dyDescent="0.2">
      <c r="A210" s="296"/>
      <c r="B210" s="291">
        <v>1</v>
      </c>
      <c r="C210" s="300"/>
      <c r="D210" s="301"/>
      <c r="E210" s="307"/>
      <c r="F210" s="294"/>
      <c r="G210" s="294"/>
      <c r="H210" s="299"/>
    </row>
    <row r="211" spans="1:8" x14ac:dyDescent="0.2">
      <c r="A211" s="278">
        <v>32</v>
      </c>
      <c r="B211" s="279">
        <v>2</v>
      </c>
      <c r="C211" s="280"/>
      <c r="D211" s="281"/>
      <c r="E211" s="281"/>
      <c r="F211" s="282"/>
      <c r="G211" s="282"/>
      <c r="H211" s="277"/>
    </row>
    <row r="212" spans="1:8" x14ac:dyDescent="0.2">
      <c r="A212" s="283">
        <v>0.42499999999999999</v>
      </c>
      <c r="B212" s="279">
        <v>3</v>
      </c>
      <c r="C212" s="280"/>
      <c r="D212" s="281"/>
      <c r="E212" s="281"/>
      <c r="F212" s="282"/>
      <c r="G212" s="282"/>
      <c r="H212" s="277"/>
    </row>
    <row r="213" spans="1:8" x14ac:dyDescent="0.2">
      <c r="A213" s="284" t="s">
        <v>388</v>
      </c>
      <c r="B213" s="279">
        <v>4</v>
      </c>
      <c r="C213" s="280"/>
      <c r="D213" s="281"/>
      <c r="E213" s="281"/>
      <c r="F213" s="282"/>
      <c r="G213" s="282"/>
      <c r="H213" s="277"/>
    </row>
    <row r="214" spans="1:8" x14ac:dyDescent="0.2">
      <c r="A214" s="284" t="s">
        <v>393</v>
      </c>
      <c r="B214" s="279">
        <v>5</v>
      </c>
      <c r="C214" s="280"/>
      <c r="D214" s="281"/>
      <c r="E214" s="281"/>
      <c r="F214" s="282"/>
      <c r="G214" s="282"/>
      <c r="H214" s="277"/>
    </row>
    <row r="215" spans="1:8" ht="13.5" thickBot="1" x14ac:dyDescent="0.25">
      <c r="A215" s="308" t="s">
        <v>394</v>
      </c>
      <c r="B215" s="314">
        <v>6</v>
      </c>
      <c r="C215" s="331"/>
      <c r="D215" s="332"/>
      <c r="E215" s="311"/>
      <c r="F215" s="312"/>
      <c r="G215" s="312"/>
      <c r="H215" s="313"/>
    </row>
    <row r="216" spans="1:8" x14ac:dyDescent="0.2">
      <c r="A216" s="267"/>
      <c r="B216" s="297">
        <v>1</v>
      </c>
      <c r="C216" s="325"/>
      <c r="D216" s="326"/>
      <c r="E216" s="298"/>
      <c r="F216" s="298"/>
      <c r="G216" s="298"/>
      <c r="H216" s="277"/>
    </row>
    <row r="217" spans="1:8" x14ac:dyDescent="0.2">
      <c r="A217" s="278">
        <v>33</v>
      </c>
      <c r="B217" s="279">
        <v>2</v>
      </c>
      <c r="C217" s="280"/>
      <c r="D217" s="281"/>
      <c r="E217" s="282"/>
      <c r="F217" s="282"/>
      <c r="G217" s="282"/>
      <c r="H217" s="277"/>
    </row>
    <row r="218" spans="1:8" x14ac:dyDescent="0.2">
      <c r="A218" s="283">
        <v>0.5</v>
      </c>
      <c r="B218" s="279">
        <v>3</v>
      </c>
      <c r="C218" s="280"/>
      <c r="D218" s="281"/>
      <c r="E218" s="282"/>
      <c r="F218" s="282"/>
      <c r="G218" s="282"/>
      <c r="H218" s="277"/>
    </row>
    <row r="219" spans="1:8" x14ac:dyDescent="0.2">
      <c r="A219" s="284" t="s">
        <v>29</v>
      </c>
      <c r="B219" s="279">
        <v>4</v>
      </c>
      <c r="C219" s="280"/>
      <c r="D219" s="281"/>
      <c r="E219" s="282"/>
      <c r="F219" s="282"/>
      <c r="G219" s="282"/>
      <c r="H219" s="277"/>
    </row>
    <row r="220" spans="1:8" x14ac:dyDescent="0.2">
      <c r="A220" s="284" t="s">
        <v>74</v>
      </c>
      <c r="B220" s="279">
        <v>5</v>
      </c>
      <c r="C220" s="280"/>
      <c r="D220" s="281"/>
      <c r="E220" s="282"/>
      <c r="F220" s="282"/>
      <c r="G220" s="282"/>
      <c r="H220" s="277"/>
    </row>
    <row r="221" spans="1:8" x14ac:dyDescent="0.2">
      <c r="A221" s="285"/>
      <c r="B221" s="286">
        <v>6</v>
      </c>
      <c r="C221" s="302"/>
      <c r="D221" s="303"/>
      <c r="E221" s="289"/>
      <c r="F221" s="289"/>
      <c r="G221" s="289"/>
      <c r="H221" s="290"/>
    </row>
    <row r="222" spans="1:8" x14ac:dyDescent="0.2">
      <c r="A222" s="296"/>
      <c r="B222" s="297">
        <v>1</v>
      </c>
      <c r="C222" s="300"/>
      <c r="D222" s="301"/>
      <c r="E222" s="298"/>
      <c r="F222" s="298"/>
      <c r="G222" s="298"/>
      <c r="H222" s="299"/>
    </row>
    <row r="223" spans="1:8" x14ac:dyDescent="0.2">
      <c r="A223" s="278">
        <v>34</v>
      </c>
      <c r="B223" s="279">
        <v>2</v>
      </c>
      <c r="C223" s="280"/>
      <c r="D223" s="281"/>
      <c r="E223" s="282"/>
      <c r="F223" s="282"/>
      <c r="G223" s="282"/>
      <c r="H223" s="277"/>
    </row>
    <row r="224" spans="1:8" x14ac:dyDescent="0.2">
      <c r="A224" s="283">
        <v>0.50694444444444442</v>
      </c>
      <c r="B224" s="279">
        <v>3</v>
      </c>
      <c r="C224" s="280"/>
      <c r="D224" s="281"/>
      <c r="E224" s="282"/>
      <c r="F224" s="282"/>
      <c r="G224" s="282"/>
      <c r="H224" s="277"/>
    </row>
    <row r="225" spans="1:8" x14ac:dyDescent="0.2">
      <c r="A225" s="284" t="s">
        <v>405</v>
      </c>
      <c r="B225" s="279">
        <v>4</v>
      </c>
      <c r="C225" s="280"/>
      <c r="D225" s="281"/>
      <c r="E225" s="282"/>
      <c r="F225" s="282"/>
      <c r="G225" s="282"/>
      <c r="H225" s="277"/>
    </row>
    <row r="226" spans="1:8" x14ac:dyDescent="0.2">
      <c r="A226" s="284" t="s">
        <v>74</v>
      </c>
      <c r="B226" s="279">
        <v>5</v>
      </c>
      <c r="C226" s="280"/>
      <c r="D226" s="281"/>
      <c r="E226" s="282"/>
      <c r="F226" s="282"/>
      <c r="G226" s="282"/>
      <c r="H226" s="277"/>
    </row>
    <row r="227" spans="1:8" x14ac:dyDescent="0.2">
      <c r="A227" s="285"/>
      <c r="B227" s="297">
        <v>6</v>
      </c>
      <c r="C227" s="302"/>
      <c r="D227" s="303"/>
      <c r="E227" s="298"/>
      <c r="F227" s="298"/>
      <c r="G227" s="298"/>
      <c r="H227" s="290"/>
    </row>
    <row r="228" spans="1:8" x14ac:dyDescent="0.2">
      <c r="A228" s="305"/>
      <c r="B228" s="291">
        <v>1</v>
      </c>
      <c r="C228" s="300"/>
      <c r="D228" s="301"/>
      <c r="E228" s="294"/>
      <c r="F228" s="294"/>
      <c r="G228" s="294"/>
      <c r="H228" s="277"/>
    </row>
    <row r="229" spans="1:8" x14ac:dyDescent="0.2">
      <c r="A229" s="278">
        <v>35</v>
      </c>
      <c r="B229" s="279">
        <v>2</v>
      </c>
      <c r="C229" s="280"/>
      <c r="D229" s="281"/>
      <c r="E229" s="282"/>
      <c r="F229" s="282"/>
      <c r="G229" s="282"/>
      <c r="H229" s="277"/>
    </row>
    <row r="230" spans="1:8" x14ac:dyDescent="0.2">
      <c r="A230" s="283">
        <v>0.51388888888888895</v>
      </c>
      <c r="B230" s="279">
        <v>3</v>
      </c>
      <c r="C230" s="280"/>
      <c r="D230" s="281"/>
      <c r="E230" s="282"/>
      <c r="F230" s="282"/>
      <c r="G230" s="282"/>
      <c r="H230" s="277"/>
    </row>
    <row r="231" spans="1:8" x14ac:dyDescent="0.2">
      <c r="A231" s="284" t="s">
        <v>50</v>
      </c>
      <c r="B231" s="279">
        <v>4</v>
      </c>
      <c r="C231" s="280"/>
      <c r="D231" s="281"/>
      <c r="E231" s="282"/>
      <c r="F231" s="282"/>
      <c r="G231" s="282"/>
      <c r="H231" s="277"/>
    </row>
    <row r="232" spans="1:8" x14ac:dyDescent="0.2">
      <c r="A232" s="284" t="s">
        <v>74</v>
      </c>
      <c r="B232" s="279">
        <v>5</v>
      </c>
      <c r="C232" s="280"/>
      <c r="D232" s="281"/>
      <c r="E232" s="282"/>
      <c r="F232" s="282"/>
      <c r="G232" s="282"/>
      <c r="H232" s="277"/>
    </row>
    <row r="233" spans="1:8" x14ac:dyDescent="0.2">
      <c r="A233" s="285"/>
      <c r="B233" s="286">
        <v>6</v>
      </c>
      <c r="C233" s="302"/>
      <c r="D233" s="303"/>
      <c r="E233" s="289"/>
      <c r="F233" s="289"/>
      <c r="G233" s="289"/>
      <c r="H233" s="290"/>
    </row>
    <row r="234" spans="1:8" x14ac:dyDescent="0.2">
      <c r="A234" s="296"/>
      <c r="B234" s="306">
        <v>1</v>
      </c>
      <c r="C234" s="300"/>
      <c r="D234" s="307"/>
      <c r="E234" s="298"/>
      <c r="F234" s="298"/>
      <c r="G234" s="298"/>
      <c r="H234" s="299"/>
    </row>
    <row r="235" spans="1:8" x14ac:dyDescent="0.2">
      <c r="A235" s="278">
        <v>36</v>
      </c>
      <c r="B235" s="279">
        <v>2</v>
      </c>
      <c r="C235" s="287"/>
      <c r="D235" s="281"/>
      <c r="E235" s="282"/>
      <c r="F235" s="282"/>
      <c r="G235" s="282"/>
      <c r="H235" s="277"/>
    </row>
    <row r="236" spans="1:8" x14ac:dyDescent="0.2">
      <c r="A236" s="283">
        <v>0.52083333333333337</v>
      </c>
      <c r="B236" s="279">
        <v>3</v>
      </c>
      <c r="C236" s="280"/>
      <c r="D236" s="281"/>
      <c r="E236" s="282"/>
      <c r="F236" s="282"/>
      <c r="G236" s="282"/>
      <c r="H236" s="277"/>
    </row>
    <row r="237" spans="1:8" x14ac:dyDescent="0.2">
      <c r="A237" s="284" t="s">
        <v>30</v>
      </c>
      <c r="B237" s="279">
        <v>4</v>
      </c>
      <c r="C237" s="280"/>
      <c r="D237" s="281"/>
      <c r="E237" s="282"/>
      <c r="F237" s="282"/>
      <c r="G237" s="282"/>
      <c r="H237" s="277"/>
    </row>
    <row r="238" spans="1:8" x14ac:dyDescent="0.2">
      <c r="A238" s="284" t="s">
        <v>74</v>
      </c>
      <c r="B238" s="279">
        <v>5</v>
      </c>
      <c r="C238" s="280"/>
      <c r="D238" s="281"/>
      <c r="E238" s="282"/>
      <c r="F238" s="282"/>
      <c r="G238" s="282"/>
      <c r="H238" s="277"/>
    </row>
    <row r="239" spans="1:8" ht="13.5" thickBot="1" x14ac:dyDescent="0.25">
      <c r="A239" s="308"/>
      <c r="B239" s="309">
        <v>6</v>
      </c>
      <c r="C239" s="310"/>
      <c r="D239" s="311"/>
      <c r="E239" s="312"/>
      <c r="F239" s="312"/>
      <c r="G239" s="312"/>
      <c r="H239" s="313"/>
    </row>
    <row r="240" spans="1:8" x14ac:dyDescent="0.2">
      <c r="A240" s="263"/>
      <c r="B240" s="263"/>
      <c r="C240" s="263"/>
      <c r="D240" s="263"/>
      <c r="E240" s="263"/>
      <c r="F240" s="263"/>
      <c r="G240" s="263"/>
      <c r="H240" s="263"/>
    </row>
    <row r="241" spans="1:8" x14ac:dyDescent="0.2">
      <c r="A241" s="603" t="s">
        <v>59</v>
      </c>
      <c r="B241" s="603"/>
      <c r="C241" s="603"/>
      <c r="D241" s="603"/>
      <c r="E241" s="603"/>
      <c r="F241" s="603"/>
      <c r="G241" s="603"/>
      <c r="H241" s="603"/>
    </row>
    <row r="242" spans="1:8" ht="13.5" thickBot="1" x14ac:dyDescent="0.25">
      <c r="A242" s="263"/>
      <c r="B242" s="263"/>
      <c r="C242" s="263"/>
      <c r="D242" s="263"/>
      <c r="E242" s="263"/>
      <c r="F242" s="263"/>
      <c r="G242" s="263"/>
      <c r="H242" s="263"/>
    </row>
    <row r="243" spans="1:8" ht="13.5" customHeight="1" x14ac:dyDescent="0.2">
      <c r="A243" s="264" t="s">
        <v>346</v>
      </c>
      <c r="B243" s="590" t="s">
        <v>34</v>
      </c>
      <c r="C243" s="593" t="s">
        <v>356</v>
      </c>
      <c r="D243" s="265"/>
      <c r="E243" s="596" t="s">
        <v>349</v>
      </c>
      <c r="F243" s="599" t="s">
        <v>35</v>
      </c>
      <c r="G243" s="600"/>
      <c r="H243" s="266" t="s">
        <v>351</v>
      </c>
    </row>
    <row r="244" spans="1:8" x14ac:dyDescent="0.2">
      <c r="A244" s="267" t="s">
        <v>172</v>
      </c>
      <c r="B244" s="591"/>
      <c r="C244" s="594"/>
      <c r="D244" s="268"/>
      <c r="E244" s="597"/>
      <c r="F244" s="601" t="s">
        <v>36</v>
      </c>
      <c r="G244" s="601" t="s">
        <v>37</v>
      </c>
      <c r="H244" s="269" t="s">
        <v>353</v>
      </c>
    </row>
    <row r="245" spans="1:8" ht="13.5" thickBot="1" x14ac:dyDescent="0.25">
      <c r="A245" s="270" t="s">
        <v>354</v>
      </c>
      <c r="B245" s="592"/>
      <c r="C245" s="595"/>
      <c r="D245" s="271"/>
      <c r="E245" s="598"/>
      <c r="F245" s="602"/>
      <c r="G245" s="602"/>
      <c r="H245" s="272" t="s">
        <v>355</v>
      </c>
    </row>
    <row r="246" spans="1:8" ht="13.5" thickTop="1" x14ac:dyDescent="0.2">
      <c r="A246" s="267"/>
      <c r="B246" s="273">
        <v>1</v>
      </c>
      <c r="C246" s="274"/>
      <c r="D246" s="275"/>
      <c r="E246" s="276"/>
      <c r="F246" s="276"/>
      <c r="G246" s="276"/>
      <c r="H246" s="277"/>
    </row>
    <row r="247" spans="1:8" x14ac:dyDescent="0.2">
      <c r="A247" s="278">
        <v>37</v>
      </c>
      <c r="B247" s="279">
        <v>2</v>
      </c>
      <c r="C247" s="280"/>
      <c r="D247" s="281"/>
      <c r="E247" s="282"/>
      <c r="F247" s="282"/>
      <c r="G247" s="282"/>
      <c r="H247" s="277"/>
    </row>
    <row r="248" spans="1:8" x14ac:dyDescent="0.2">
      <c r="A248" s="283">
        <v>0.52777777777777779</v>
      </c>
      <c r="B248" s="279">
        <v>3</v>
      </c>
      <c r="C248" s="280"/>
      <c r="D248" s="281"/>
      <c r="E248" s="282"/>
      <c r="F248" s="282"/>
      <c r="G248" s="282"/>
      <c r="H248" s="277"/>
    </row>
    <row r="249" spans="1:8" x14ac:dyDescent="0.2">
      <c r="A249" s="284" t="s">
        <v>8</v>
      </c>
      <c r="B249" s="279">
        <v>4</v>
      </c>
      <c r="C249" s="280"/>
      <c r="D249" s="281"/>
      <c r="E249" s="282"/>
      <c r="F249" s="282"/>
      <c r="G249" s="282"/>
      <c r="H249" s="277"/>
    </row>
    <row r="250" spans="1:8" x14ac:dyDescent="0.2">
      <c r="A250" s="284" t="s">
        <v>74</v>
      </c>
      <c r="B250" s="279">
        <v>5</v>
      </c>
      <c r="C250" s="280"/>
      <c r="D250" s="281"/>
      <c r="E250" s="282"/>
      <c r="F250" s="282"/>
      <c r="G250" s="282"/>
      <c r="H250" s="277"/>
    </row>
    <row r="251" spans="1:8" x14ac:dyDescent="0.2">
      <c r="A251" s="285"/>
      <c r="B251" s="286">
        <v>6</v>
      </c>
      <c r="C251" s="287"/>
      <c r="D251" s="288"/>
      <c r="E251" s="289"/>
      <c r="F251" s="289"/>
      <c r="G251" s="289"/>
      <c r="H251" s="290"/>
    </row>
    <row r="252" spans="1:8" x14ac:dyDescent="0.2">
      <c r="A252" s="284"/>
      <c r="B252" s="291">
        <v>1</v>
      </c>
      <c r="C252" s="292"/>
      <c r="D252" s="293"/>
      <c r="E252" s="294"/>
      <c r="F252" s="294"/>
      <c r="G252" s="294"/>
      <c r="H252" s="277"/>
    </row>
    <row r="253" spans="1:8" x14ac:dyDescent="0.2">
      <c r="A253" s="278">
        <v>38</v>
      </c>
      <c r="B253" s="279">
        <v>2</v>
      </c>
      <c r="C253" s="280"/>
      <c r="D253" s="281"/>
      <c r="E253" s="282"/>
      <c r="F253" s="282"/>
      <c r="G253" s="282"/>
      <c r="H253" s="277"/>
    </row>
    <row r="254" spans="1:8" x14ac:dyDescent="0.2">
      <c r="A254" s="283">
        <v>0.53472222222222221</v>
      </c>
      <c r="B254" s="279">
        <v>3</v>
      </c>
      <c r="C254" s="280"/>
      <c r="D254" s="281"/>
      <c r="E254" s="282"/>
      <c r="F254" s="282"/>
      <c r="G254" s="282"/>
      <c r="H254" s="277"/>
    </row>
    <row r="255" spans="1:8" ht="13.5" customHeight="1" x14ac:dyDescent="0.2">
      <c r="A255" s="284" t="s">
        <v>110</v>
      </c>
      <c r="B255" s="279">
        <v>4</v>
      </c>
      <c r="C255" s="280"/>
      <c r="D255" s="281"/>
      <c r="E255" s="282"/>
      <c r="F255" s="282"/>
      <c r="G255" s="282"/>
      <c r="H255" s="277"/>
    </row>
    <row r="256" spans="1:8" x14ac:dyDescent="0.2">
      <c r="A256" s="284" t="s">
        <v>74</v>
      </c>
      <c r="B256" s="279">
        <v>5</v>
      </c>
      <c r="C256" s="280"/>
      <c r="D256" s="281"/>
      <c r="E256" s="282"/>
      <c r="F256" s="282"/>
      <c r="G256" s="282"/>
      <c r="H256" s="277"/>
    </row>
    <row r="257" spans="1:8" ht="13.5" thickBot="1" x14ac:dyDescent="0.25">
      <c r="A257" s="319"/>
      <c r="B257" s="320">
        <v>6</v>
      </c>
      <c r="C257" s="333"/>
      <c r="D257" s="334"/>
      <c r="E257" s="323"/>
      <c r="F257" s="323"/>
      <c r="G257" s="323"/>
      <c r="H257" s="324"/>
    </row>
    <row r="258" spans="1:8" ht="13.5" thickTop="1" x14ac:dyDescent="0.2">
      <c r="A258" s="284"/>
      <c r="B258" s="297">
        <v>1</v>
      </c>
      <c r="C258" s="325"/>
      <c r="D258" s="326"/>
      <c r="E258" s="298"/>
      <c r="F258" s="298"/>
      <c r="G258" s="298"/>
      <c r="H258" s="277"/>
    </row>
    <row r="259" spans="1:8" x14ac:dyDescent="0.2">
      <c r="A259" s="278"/>
      <c r="B259" s="279">
        <v>2</v>
      </c>
      <c r="C259" s="280"/>
      <c r="D259" s="281"/>
      <c r="E259" s="282"/>
      <c r="F259" s="282"/>
      <c r="G259" s="282"/>
      <c r="H259" s="277"/>
    </row>
    <row r="260" spans="1:8" x14ac:dyDescent="0.2">
      <c r="A260" s="283"/>
      <c r="B260" s="279">
        <v>3</v>
      </c>
      <c r="C260" s="280"/>
      <c r="D260" s="281"/>
      <c r="E260" s="282"/>
      <c r="F260" s="282"/>
      <c r="G260" s="282"/>
      <c r="H260" s="277"/>
    </row>
    <row r="261" spans="1:8" x14ac:dyDescent="0.2">
      <c r="A261" s="284"/>
      <c r="B261" s="279">
        <v>4</v>
      </c>
      <c r="C261" s="280"/>
      <c r="D261" s="281"/>
      <c r="E261" s="282"/>
      <c r="F261" s="282"/>
      <c r="G261" s="282"/>
      <c r="H261" s="277"/>
    </row>
    <row r="262" spans="1:8" x14ac:dyDescent="0.2">
      <c r="A262" s="284"/>
      <c r="B262" s="279">
        <v>5</v>
      </c>
      <c r="C262" s="280"/>
      <c r="D262" s="281"/>
      <c r="E262" s="282"/>
      <c r="F262" s="282"/>
      <c r="G262" s="282"/>
      <c r="H262" s="277"/>
    </row>
    <row r="263" spans="1:8" x14ac:dyDescent="0.2">
      <c r="A263" s="285"/>
      <c r="B263" s="286">
        <v>6</v>
      </c>
      <c r="C263" s="302"/>
      <c r="D263" s="303"/>
      <c r="E263" s="289"/>
      <c r="F263" s="289"/>
      <c r="G263" s="289"/>
      <c r="H263" s="290"/>
    </row>
    <row r="264" spans="1:8" x14ac:dyDescent="0.2">
      <c r="A264" s="284"/>
      <c r="B264" s="297">
        <v>1</v>
      </c>
      <c r="C264" s="325"/>
      <c r="D264" s="326"/>
      <c r="E264" s="298"/>
      <c r="F264" s="298"/>
      <c r="G264" s="298"/>
      <c r="H264" s="277"/>
    </row>
    <row r="265" spans="1:8" x14ac:dyDescent="0.2">
      <c r="A265" s="278"/>
      <c r="B265" s="279">
        <v>2</v>
      </c>
      <c r="C265" s="280"/>
      <c r="D265" s="281"/>
      <c r="E265" s="282"/>
      <c r="F265" s="282"/>
      <c r="G265" s="282"/>
      <c r="H265" s="277"/>
    </row>
    <row r="266" spans="1:8" x14ac:dyDescent="0.2">
      <c r="A266" s="283"/>
      <c r="B266" s="279">
        <v>3</v>
      </c>
      <c r="C266" s="280"/>
      <c r="D266" s="281"/>
      <c r="E266" s="282"/>
      <c r="F266" s="282"/>
      <c r="G266" s="282"/>
      <c r="H266" s="277"/>
    </row>
    <row r="267" spans="1:8" x14ac:dyDescent="0.2">
      <c r="A267" s="284"/>
      <c r="B267" s="279">
        <v>4</v>
      </c>
      <c r="C267" s="280"/>
      <c r="D267" s="281"/>
      <c r="E267" s="282"/>
      <c r="F267" s="282"/>
      <c r="G267" s="282"/>
      <c r="H267" s="277"/>
    </row>
    <row r="268" spans="1:8" x14ac:dyDescent="0.2">
      <c r="A268" s="284"/>
      <c r="B268" s="279">
        <v>5</v>
      </c>
      <c r="C268" s="280"/>
      <c r="D268" s="281"/>
      <c r="E268" s="282"/>
      <c r="F268" s="282"/>
      <c r="G268" s="282"/>
      <c r="H268" s="277"/>
    </row>
    <row r="269" spans="1:8" x14ac:dyDescent="0.2">
      <c r="A269" s="285"/>
      <c r="B269" s="286">
        <v>6</v>
      </c>
      <c r="C269" s="302"/>
      <c r="D269" s="303"/>
      <c r="E269" s="289"/>
      <c r="F269" s="289"/>
      <c r="G269" s="289"/>
      <c r="H269" s="290"/>
    </row>
    <row r="270" spans="1:8" x14ac:dyDescent="0.2">
      <c r="A270" s="296"/>
      <c r="B270" s="297">
        <v>1</v>
      </c>
      <c r="C270" s="300"/>
      <c r="D270" s="301"/>
      <c r="E270" s="304"/>
      <c r="F270" s="298"/>
      <c r="G270" s="298"/>
      <c r="H270" s="299"/>
    </row>
    <row r="271" spans="1:8" x14ac:dyDescent="0.2">
      <c r="A271" s="278"/>
      <c r="B271" s="279">
        <v>2</v>
      </c>
      <c r="C271" s="280"/>
      <c r="D271" s="281"/>
      <c r="E271" s="281"/>
      <c r="F271" s="282"/>
      <c r="G271" s="282"/>
      <c r="H271" s="277"/>
    </row>
    <row r="272" spans="1:8" x14ac:dyDescent="0.2">
      <c r="A272" s="283"/>
      <c r="B272" s="279">
        <v>3</v>
      </c>
      <c r="C272" s="280"/>
      <c r="D272" s="281"/>
      <c r="E272" s="281"/>
      <c r="F272" s="282"/>
      <c r="G272" s="282"/>
      <c r="H272" s="277"/>
    </row>
    <row r="273" spans="1:8" x14ac:dyDescent="0.2">
      <c r="A273" s="284"/>
      <c r="B273" s="279">
        <v>4</v>
      </c>
      <c r="C273" s="280"/>
      <c r="D273" s="281"/>
      <c r="E273" s="281"/>
      <c r="F273" s="282"/>
      <c r="G273" s="282"/>
      <c r="H273" s="277"/>
    </row>
    <row r="274" spans="1:8" x14ac:dyDescent="0.2">
      <c r="A274" s="284"/>
      <c r="B274" s="279">
        <v>5</v>
      </c>
      <c r="C274" s="280"/>
      <c r="D274" s="281"/>
      <c r="E274" s="281"/>
      <c r="F274" s="282"/>
      <c r="G274" s="282"/>
      <c r="H274" s="277"/>
    </row>
    <row r="275" spans="1:8" x14ac:dyDescent="0.2">
      <c r="A275" s="285"/>
      <c r="B275" s="286">
        <v>6</v>
      </c>
      <c r="C275" s="302"/>
      <c r="D275" s="303"/>
      <c r="E275" s="288"/>
      <c r="F275" s="289"/>
      <c r="G275" s="289"/>
      <c r="H275" s="290"/>
    </row>
    <row r="276" spans="1:8" x14ac:dyDescent="0.2">
      <c r="A276" s="267"/>
      <c r="B276" s="297">
        <v>1</v>
      </c>
      <c r="C276" s="325"/>
      <c r="D276" s="326"/>
      <c r="E276" s="298"/>
      <c r="F276" s="298"/>
      <c r="G276" s="298"/>
      <c r="H276" s="277"/>
    </row>
    <row r="277" spans="1:8" x14ac:dyDescent="0.2">
      <c r="A277" s="278"/>
      <c r="B277" s="279">
        <v>2</v>
      </c>
      <c r="C277" s="280"/>
      <c r="D277" s="281"/>
      <c r="E277" s="282"/>
      <c r="F277" s="282"/>
      <c r="G277" s="282"/>
      <c r="H277" s="277"/>
    </row>
    <row r="278" spans="1:8" x14ac:dyDescent="0.2">
      <c r="A278" s="283"/>
      <c r="B278" s="279">
        <v>3</v>
      </c>
      <c r="C278" s="280"/>
      <c r="D278" s="281"/>
      <c r="E278" s="282"/>
      <c r="F278" s="282"/>
      <c r="G278" s="282"/>
      <c r="H278" s="277"/>
    </row>
    <row r="279" spans="1:8" x14ac:dyDescent="0.2">
      <c r="A279" s="284"/>
      <c r="B279" s="279">
        <v>4</v>
      </c>
      <c r="C279" s="280"/>
      <c r="D279" s="281"/>
      <c r="E279" s="282"/>
      <c r="F279" s="282"/>
      <c r="G279" s="282"/>
      <c r="H279" s="277"/>
    </row>
    <row r="280" spans="1:8" x14ac:dyDescent="0.2">
      <c r="A280" s="284"/>
      <c r="B280" s="279">
        <v>5</v>
      </c>
      <c r="C280" s="280"/>
      <c r="D280" s="281"/>
      <c r="E280" s="282"/>
      <c r="F280" s="282"/>
      <c r="G280" s="282"/>
      <c r="H280" s="277"/>
    </row>
    <row r="281" spans="1:8" x14ac:dyDescent="0.2">
      <c r="A281" s="285"/>
      <c r="B281" s="286">
        <v>6</v>
      </c>
      <c r="C281" s="302"/>
      <c r="D281" s="303"/>
      <c r="E281" s="289"/>
      <c r="F281" s="289"/>
      <c r="G281" s="289"/>
      <c r="H281" s="290"/>
    </row>
    <row r="282" spans="1:8" x14ac:dyDescent="0.2">
      <c r="A282" s="296"/>
      <c r="B282" s="297">
        <v>1</v>
      </c>
      <c r="C282" s="300"/>
      <c r="D282" s="301"/>
      <c r="E282" s="298"/>
      <c r="F282" s="298"/>
      <c r="G282" s="298"/>
      <c r="H282" s="299"/>
    </row>
    <row r="283" spans="1:8" x14ac:dyDescent="0.2">
      <c r="A283" s="278"/>
      <c r="B283" s="279">
        <v>2</v>
      </c>
      <c r="C283" s="280"/>
      <c r="D283" s="281"/>
      <c r="E283" s="282"/>
      <c r="F283" s="282"/>
      <c r="G283" s="282"/>
      <c r="H283" s="277"/>
    </row>
    <row r="284" spans="1:8" x14ac:dyDescent="0.2">
      <c r="A284" s="283"/>
      <c r="B284" s="279">
        <v>3</v>
      </c>
      <c r="C284" s="280"/>
      <c r="D284" s="281"/>
      <c r="E284" s="282"/>
      <c r="F284" s="282"/>
      <c r="G284" s="282"/>
      <c r="H284" s="277"/>
    </row>
    <row r="285" spans="1:8" x14ac:dyDescent="0.2">
      <c r="A285" s="284"/>
      <c r="B285" s="279">
        <v>4</v>
      </c>
      <c r="C285" s="280"/>
      <c r="D285" s="281"/>
      <c r="E285" s="282"/>
      <c r="F285" s="282"/>
      <c r="G285" s="282"/>
      <c r="H285" s="277"/>
    </row>
    <row r="286" spans="1:8" x14ac:dyDescent="0.2">
      <c r="A286" s="284"/>
      <c r="B286" s="279">
        <v>5</v>
      </c>
      <c r="C286" s="280"/>
      <c r="D286" s="281"/>
      <c r="E286" s="282"/>
      <c r="F286" s="282"/>
      <c r="G286" s="282"/>
      <c r="H286" s="277"/>
    </row>
    <row r="287" spans="1:8" x14ac:dyDescent="0.2">
      <c r="A287" s="285"/>
      <c r="B287" s="297">
        <v>6</v>
      </c>
      <c r="C287" s="302"/>
      <c r="D287" s="303"/>
      <c r="E287" s="298"/>
      <c r="F287" s="298"/>
      <c r="G287" s="298"/>
      <c r="H287" s="290"/>
    </row>
    <row r="288" spans="1:8" x14ac:dyDescent="0.2">
      <c r="A288" s="305"/>
      <c r="B288" s="291">
        <v>1</v>
      </c>
      <c r="C288" s="300"/>
      <c r="D288" s="301"/>
      <c r="E288" s="294"/>
      <c r="F288" s="294"/>
      <c r="G288" s="294"/>
      <c r="H288" s="277"/>
    </row>
    <row r="289" spans="1:8" x14ac:dyDescent="0.2">
      <c r="A289" s="278"/>
      <c r="B289" s="279">
        <v>2</v>
      </c>
      <c r="C289" s="280"/>
      <c r="D289" s="281"/>
      <c r="E289" s="282"/>
      <c r="F289" s="282"/>
      <c r="G289" s="282"/>
      <c r="H289" s="277"/>
    </row>
    <row r="290" spans="1:8" x14ac:dyDescent="0.2">
      <c r="A290" s="283"/>
      <c r="B290" s="279">
        <v>3</v>
      </c>
      <c r="C290" s="280"/>
      <c r="D290" s="281"/>
      <c r="E290" s="282"/>
      <c r="F290" s="282"/>
      <c r="G290" s="282"/>
      <c r="H290" s="277"/>
    </row>
    <row r="291" spans="1:8" x14ac:dyDescent="0.2">
      <c r="A291" s="284"/>
      <c r="B291" s="279">
        <v>4</v>
      </c>
      <c r="C291" s="280"/>
      <c r="D291" s="281"/>
      <c r="E291" s="282"/>
      <c r="F291" s="282"/>
      <c r="G291" s="282"/>
      <c r="H291" s="277"/>
    </row>
    <row r="292" spans="1:8" x14ac:dyDescent="0.2">
      <c r="A292" s="284"/>
      <c r="B292" s="279">
        <v>5</v>
      </c>
      <c r="C292" s="280"/>
      <c r="D292" s="281"/>
      <c r="E292" s="282"/>
      <c r="F292" s="282"/>
      <c r="G292" s="282"/>
      <c r="H292" s="277"/>
    </row>
    <row r="293" spans="1:8" x14ac:dyDescent="0.2">
      <c r="A293" s="285"/>
      <c r="B293" s="286">
        <v>6</v>
      </c>
      <c r="C293" s="302"/>
      <c r="D293" s="303"/>
      <c r="E293" s="289"/>
      <c r="F293" s="289"/>
      <c r="G293" s="289"/>
      <c r="H293" s="290"/>
    </row>
    <row r="294" spans="1:8" x14ac:dyDescent="0.2">
      <c r="A294" s="296"/>
      <c r="B294" s="306">
        <v>1</v>
      </c>
      <c r="C294" s="300"/>
      <c r="D294" s="307"/>
      <c r="E294" s="298"/>
      <c r="F294" s="298"/>
      <c r="G294" s="298"/>
      <c r="H294" s="299"/>
    </row>
    <row r="295" spans="1:8" x14ac:dyDescent="0.2">
      <c r="A295" s="278"/>
      <c r="B295" s="279">
        <v>2</v>
      </c>
      <c r="C295" s="287"/>
      <c r="D295" s="281"/>
      <c r="E295" s="282"/>
      <c r="F295" s="282"/>
      <c r="G295" s="282"/>
      <c r="H295" s="277"/>
    </row>
    <row r="296" spans="1:8" x14ac:dyDescent="0.2">
      <c r="A296" s="283"/>
      <c r="B296" s="279">
        <v>3</v>
      </c>
      <c r="C296" s="280"/>
      <c r="D296" s="281"/>
      <c r="E296" s="282"/>
      <c r="F296" s="282"/>
      <c r="G296" s="282"/>
      <c r="H296" s="277"/>
    </row>
    <row r="297" spans="1:8" x14ac:dyDescent="0.2">
      <c r="A297" s="284"/>
      <c r="B297" s="279">
        <v>4</v>
      </c>
      <c r="C297" s="280"/>
      <c r="D297" s="281"/>
      <c r="E297" s="282"/>
      <c r="F297" s="282"/>
      <c r="G297" s="282"/>
      <c r="H297" s="277"/>
    </row>
    <row r="298" spans="1:8" x14ac:dyDescent="0.2">
      <c r="A298" s="284"/>
      <c r="B298" s="279">
        <v>5</v>
      </c>
      <c r="C298" s="280"/>
      <c r="D298" s="281"/>
      <c r="E298" s="282"/>
      <c r="F298" s="282"/>
      <c r="G298" s="282"/>
      <c r="H298" s="277"/>
    </row>
    <row r="299" spans="1:8" ht="13.5" thickBot="1" x14ac:dyDescent="0.25">
      <c r="A299" s="308"/>
      <c r="B299" s="309">
        <v>6</v>
      </c>
      <c r="C299" s="310"/>
      <c r="D299" s="311"/>
      <c r="E299" s="312"/>
      <c r="F299" s="312"/>
      <c r="G299" s="312"/>
      <c r="H299" s="313"/>
    </row>
    <row r="300" spans="1:8" x14ac:dyDescent="0.2">
      <c r="A300" s="263"/>
      <c r="B300" s="263"/>
      <c r="C300" s="263"/>
      <c r="D300" s="263"/>
      <c r="E300" s="263"/>
      <c r="F300" s="263"/>
      <c r="G300" s="263"/>
      <c r="H300" s="263"/>
    </row>
    <row r="301" spans="1:8" x14ac:dyDescent="0.2">
      <c r="A301" s="603" t="s">
        <v>59</v>
      </c>
      <c r="B301" s="603"/>
      <c r="C301" s="603"/>
      <c r="D301" s="603"/>
      <c r="E301" s="603"/>
      <c r="F301" s="603"/>
      <c r="G301" s="603"/>
      <c r="H301" s="603"/>
    </row>
    <row r="302" spans="1:8" ht="13.5" thickBot="1" x14ac:dyDescent="0.25">
      <c r="A302" s="263"/>
      <c r="B302" s="263"/>
      <c r="C302" s="263"/>
      <c r="D302" s="263"/>
      <c r="E302" s="263"/>
      <c r="F302" s="263"/>
      <c r="G302" s="263"/>
      <c r="H302" s="263"/>
    </row>
    <row r="303" spans="1:8" ht="13.5" customHeight="1" x14ac:dyDescent="0.2">
      <c r="A303" s="264" t="s">
        <v>346</v>
      </c>
      <c r="B303" s="590" t="s">
        <v>34</v>
      </c>
      <c r="C303" s="593" t="s">
        <v>356</v>
      </c>
      <c r="D303" s="265"/>
      <c r="E303" s="596" t="s">
        <v>349</v>
      </c>
      <c r="F303" s="599" t="s">
        <v>35</v>
      </c>
      <c r="G303" s="600"/>
      <c r="H303" s="266" t="s">
        <v>351</v>
      </c>
    </row>
    <row r="304" spans="1:8" x14ac:dyDescent="0.2">
      <c r="A304" s="267" t="s">
        <v>172</v>
      </c>
      <c r="B304" s="591"/>
      <c r="C304" s="594"/>
      <c r="D304" s="268"/>
      <c r="E304" s="597"/>
      <c r="F304" s="601" t="s">
        <v>36</v>
      </c>
      <c r="G304" s="601" t="s">
        <v>37</v>
      </c>
      <c r="H304" s="269" t="s">
        <v>353</v>
      </c>
    </row>
    <row r="305" spans="1:8" ht="13.5" thickBot="1" x14ac:dyDescent="0.25">
      <c r="A305" s="270" t="s">
        <v>354</v>
      </c>
      <c r="B305" s="592"/>
      <c r="C305" s="595"/>
      <c r="D305" s="271"/>
      <c r="E305" s="598"/>
      <c r="F305" s="602"/>
      <c r="G305" s="602"/>
      <c r="H305" s="272" t="s">
        <v>355</v>
      </c>
    </row>
    <row r="306" spans="1:8" ht="13.5" thickTop="1" x14ac:dyDescent="0.2">
      <c r="A306" s="267"/>
      <c r="B306" s="273">
        <v>1</v>
      </c>
      <c r="C306" s="274"/>
      <c r="D306" s="275"/>
      <c r="E306" s="276"/>
      <c r="F306" s="276"/>
      <c r="G306" s="276"/>
      <c r="H306" s="277"/>
    </row>
    <row r="307" spans="1:8" x14ac:dyDescent="0.2">
      <c r="A307" s="278"/>
      <c r="B307" s="279">
        <v>2</v>
      </c>
      <c r="C307" s="280"/>
      <c r="D307" s="281"/>
      <c r="E307" s="282"/>
      <c r="F307" s="282"/>
      <c r="G307" s="282"/>
      <c r="H307" s="277"/>
    </row>
    <row r="308" spans="1:8" x14ac:dyDescent="0.2">
      <c r="A308" s="283"/>
      <c r="B308" s="279">
        <v>3</v>
      </c>
      <c r="C308" s="280"/>
      <c r="D308" s="281"/>
      <c r="E308" s="282"/>
      <c r="F308" s="282"/>
      <c r="G308" s="282"/>
      <c r="H308" s="277"/>
    </row>
    <row r="309" spans="1:8" x14ac:dyDescent="0.2">
      <c r="A309" s="284"/>
      <c r="B309" s="279">
        <v>4</v>
      </c>
      <c r="C309" s="280"/>
      <c r="D309" s="281"/>
      <c r="E309" s="282"/>
      <c r="F309" s="282"/>
      <c r="G309" s="282"/>
      <c r="H309" s="277"/>
    </row>
    <row r="310" spans="1:8" x14ac:dyDescent="0.2">
      <c r="A310" s="284"/>
      <c r="B310" s="279">
        <v>5</v>
      </c>
      <c r="C310" s="280"/>
      <c r="D310" s="281"/>
      <c r="E310" s="282"/>
      <c r="F310" s="282"/>
      <c r="G310" s="282"/>
      <c r="H310" s="277"/>
    </row>
    <row r="311" spans="1:8" x14ac:dyDescent="0.2">
      <c r="A311" s="285"/>
      <c r="B311" s="286">
        <v>6</v>
      </c>
      <c r="C311" s="287"/>
      <c r="D311" s="288"/>
      <c r="E311" s="289"/>
      <c r="F311" s="289"/>
      <c r="G311" s="289"/>
      <c r="H311" s="290"/>
    </row>
    <row r="312" spans="1:8" x14ac:dyDescent="0.2">
      <c r="A312" s="284"/>
      <c r="B312" s="291">
        <v>1</v>
      </c>
      <c r="C312" s="292"/>
      <c r="D312" s="293"/>
      <c r="E312" s="294"/>
      <c r="F312" s="294"/>
      <c r="G312" s="294"/>
      <c r="H312" s="277"/>
    </row>
    <row r="313" spans="1:8" x14ac:dyDescent="0.2">
      <c r="A313" s="278"/>
      <c r="B313" s="279">
        <v>2</v>
      </c>
      <c r="C313" s="280"/>
      <c r="D313" s="281"/>
      <c r="E313" s="282"/>
      <c r="F313" s="282"/>
      <c r="G313" s="282"/>
      <c r="H313" s="277"/>
    </row>
    <row r="314" spans="1:8" x14ac:dyDescent="0.2">
      <c r="A314" s="283"/>
      <c r="B314" s="279">
        <v>3</v>
      </c>
      <c r="C314" s="280"/>
      <c r="D314" s="281"/>
      <c r="E314" s="282"/>
      <c r="F314" s="282"/>
      <c r="G314" s="282"/>
      <c r="H314" s="277"/>
    </row>
    <row r="315" spans="1:8" x14ac:dyDescent="0.2">
      <c r="A315" s="284"/>
      <c r="B315" s="279">
        <v>4</v>
      </c>
      <c r="C315" s="280"/>
      <c r="D315" s="281"/>
      <c r="E315" s="282"/>
      <c r="F315" s="282"/>
      <c r="G315" s="282"/>
      <c r="H315" s="277"/>
    </row>
    <row r="316" spans="1:8" x14ac:dyDescent="0.2">
      <c r="A316" s="284"/>
      <c r="B316" s="279">
        <v>5</v>
      </c>
      <c r="C316" s="280"/>
      <c r="D316" s="281"/>
      <c r="E316" s="282"/>
      <c r="F316" s="282"/>
      <c r="G316" s="282"/>
      <c r="H316" s="277"/>
    </row>
    <row r="317" spans="1:8" x14ac:dyDescent="0.2">
      <c r="A317" s="285"/>
      <c r="B317" s="286">
        <v>6</v>
      </c>
      <c r="C317" s="295"/>
      <c r="D317" s="288"/>
      <c r="E317" s="289"/>
      <c r="F317" s="289"/>
      <c r="G317" s="289"/>
      <c r="H317" s="290"/>
    </row>
    <row r="318" spans="1:8" x14ac:dyDescent="0.2">
      <c r="A318" s="296"/>
      <c r="B318" s="297">
        <v>1</v>
      </c>
      <c r="C318" s="280"/>
      <c r="D318" s="281"/>
      <c r="E318" s="298"/>
      <c r="F318" s="298"/>
      <c r="G318" s="298"/>
      <c r="H318" s="299"/>
    </row>
    <row r="319" spans="1:8" x14ac:dyDescent="0.2">
      <c r="A319" s="278"/>
      <c r="B319" s="279">
        <v>2</v>
      </c>
      <c r="C319" s="280"/>
      <c r="D319" s="281"/>
      <c r="E319" s="282"/>
      <c r="F319" s="282"/>
      <c r="G319" s="282"/>
      <c r="H319" s="277"/>
    </row>
    <row r="320" spans="1:8" x14ac:dyDescent="0.2">
      <c r="A320" s="283"/>
      <c r="B320" s="279">
        <v>3</v>
      </c>
      <c r="C320" s="280"/>
      <c r="D320" s="281"/>
      <c r="E320" s="282"/>
      <c r="F320" s="282"/>
      <c r="G320" s="282"/>
      <c r="H320" s="277"/>
    </row>
    <row r="321" spans="1:10" x14ac:dyDescent="0.2">
      <c r="A321" s="284"/>
      <c r="B321" s="279">
        <v>4</v>
      </c>
      <c r="C321" s="280"/>
      <c r="D321" s="281"/>
      <c r="E321" s="282"/>
      <c r="F321" s="282"/>
      <c r="G321" s="282"/>
      <c r="H321" s="277"/>
    </row>
    <row r="322" spans="1:10" x14ac:dyDescent="0.2">
      <c r="A322" s="284"/>
      <c r="B322" s="279">
        <v>5</v>
      </c>
      <c r="C322" s="280"/>
      <c r="D322" s="281"/>
      <c r="E322" s="282"/>
      <c r="F322" s="282"/>
      <c r="G322" s="282"/>
      <c r="H322" s="277"/>
    </row>
    <row r="323" spans="1:10" x14ac:dyDescent="0.2">
      <c r="A323" s="285"/>
      <c r="B323" s="297">
        <v>6</v>
      </c>
      <c r="C323" s="280"/>
      <c r="D323" s="281"/>
      <c r="E323" s="298"/>
      <c r="F323" s="298"/>
      <c r="G323" s="298"/>
      <c r="H323" s="290"/>
    </row>
    <row r="324" spans="1:10" x14ac:dyDescent="0.2">
      <c r="A324" s="296"/>
      <c r="B324" s="291">
        <v>1</v>
      </c>
      <c r="C324" s="300"/>
      <c r="D324" s="301"/>
      <c r="E324" s="294"/>
      <c r="F324" s="294"/>
      <c r="G324" s="294"/>
      <c r="H324" s="299"/>
    </row>
    <row r="325" spans="1:10" x14ac:dyDescent="0.2">
      <c r="A325" s="278"/>
      <c r="B325" s="279">
        <v>2</v>
      </c>
      <c r="C325" s="280"/>
      <c r="D325" s="281"/>
      <c r="E325" s="282"/>
      <c r="F325" s="282"/>
      <c r="G325" s="282"/>
      <c r="H325" s="277"/>
      <c r="J325" s="10" t="str">
        <f t="shared" ref="J325:J339" si="0">IF(A325="","",A325+2)</f>
        <v/>
      </c>
    </row>
    <row r="326" spans="1:10" x14ac:dyDescent="0.2">
      <c r="A326" s="283"/>
      <c r="B326" s="279">
        <v>3</v>
      </c>
      <c r="C326" s="280"/>
      <c r="D326" s="281"/>
      <c r="E326" s="282"/>
      <c r="F326" s="282"/>
      <c r="G326" s="282"/>
      <c r="H326" s="277"/>
      <c r="J326" s="10" t="str">
        <f t="shared" si="0"/>
        <v/>
      </c>
    </row>
    <row r="327" spans="1:10" x14ac:dyDescent="0.2">
      <c r="A327" s="284"/>
      <c r="B327" s="279">
        <v>4</v>
      </c>
      <c r="C327" s="280"/>
      <c r="D327" s="281"/>
      <c r="E327" s="282"/>
      <c r="F327" s="282"/>
      <c r="G327" s="282"/>
      <c r="H327" s="277"/>
      <c r="J327" s="10" t="str">
        <f t="shared" si="0"/>
        <v/>
      </c>
    </row>
    <row r="328" spans="1:10" x14ac:dyDescent="0.2">
      <c r="A328" s="284"/>
      <c r="B328" s="279">
        <v>5</v>
      </c>
      <c r="C328" s="280"/>
      <c r="D328" s="281"/>
      <c r="E328" s="282"/>
      <c r="F328" s="282"/>
      <c r="G328" s="282"/>
      <c r="H328" s="277"/>
      <c r="J328" s="10" t="str">
        <f t="shared" si="0"/>
        <v/>
      </c>
    </row>
    <row r="329" spans="1:10" x14ac:dyDescent="0.2">
      <c r="A329" s="285"/>
      <c r="B329" s="286">
        <v>6</v>
      </c>
      <c r="C329" s="302"/>
      <c r="D329" s="303"/>
      <c r="E329" s="289"/>
      <c r="F329" s="289"/>
      <c r="G329" s="289"/>
      <c r="H329" s="290"/>
      <c r="J329" s="10" t="str">
        <f t="shared" si="0"/>
        <v/>
      </c>
    </row>
    <row r="330" spans="1:10" x14ac:dyDescent="0.2">
      <c r="A330" s="296"/>
      <c r="B330" s="297">
        <v>1</v>
      </c>
      <c r="C330" s="300"/>
      <c r="D330" s="301"/>
      <c r="E330" s="304"/>
      <c r="F330" s="298"/>
      <c r="G330" s="298"/>
      <c r="H330" s="299"/>
      <c r="J330" s="10" t="str">
        <f t="shared" si="0"/>
        <v/>
      </c>
    </row>
    <row r="331" spans="1:10" x14ac:dyDescent="0.2">
      <c r="A331" s="278"/>
      <c r="B331" s="279">
        <v>2</v>
      </c>
      <c r="C331" s="280"/>
      <c r="D331" s="281"/>
      <c r="E331" s="281"/>
      <c r="F331" s="282"/>
      <c r="G331" s="282"/>
      <c r="H331" s="277"/>
      <c r="J331" s="10" t="str">
        <f t="shared" si="0"/>
        <v/>
      </c>
    </row>
    <row r="332" spans="1:10" x14ac:dyDescent="0.2">
      <c r="A332" s="283"/>
      <c r="B332" s="279">
        <v>3</v>
      </c>
      <c r="C332" s="280"/>
      <c r="D332" s="281"/>
      <c r="E332" s="281"/>
      <c r="F332" s="282"/>
      <c r="G332" s="282"/>
      <c r="H332" s="277"/>
      <c r="J332" s="10" t="str">
        <f t="shared" si="0"/>
        <v/>
      </c>
    </row>
    <row r="333" spans="1:10" x14ac:dyDescent="0.2">
      <c r="A333" s="284"/>
      <c r="B333" s="279">
        <v>4</v>
      </c>
      <c r="C333" s="280"/>
      <c r="D333" s="281"/>
      <c r="E333" s="281"/>
      <c r="F333" s="282"/>
      <c r="G333" s="282"/>
      <c r="H333" s="277"/>
      <c r="J333" s="10" t="str">
        <f t="shared" si="0"/>
        <v/>
      </c>
    </row>
    <row r="334" spans="1:10" x14ac:dyDescent="0.2">
      <c r="A334" s="284"/>
      <c r="B334" s="279">
        <v>5</v>
      </c>
      <c r="C334" s="280"/>
      <c r="D334" s="281"/>
      <c r="E334" s="281"/>
      <c r="F334" s="282"/>
      <c r="G334" s="282"/>
      <c r="H334" s="277"/>
      <c r="J334" s="10" t="str">
        <f t="shared" si="0"/>
        <v/>
      </c>
    </row>
    <row r="335" spans="1:10" x14ac:dyDescent="0.2">
      <c r="A335" s="285"/>
      <c r="B335" s="297">
        <v>6</v>
      </c>
      <c r="C335" s="302"/>
      <c r="D335" s="303"/>
      <c r="E335" s="304"/>
      <c r="F335" s="298"/>
      <c r="G335" s="298"/>
      <c r="H335" s="290"/>
      <c r="J335" s="10" t="str">
        <f t="shared" si="0"/>
        <v/>
      </c>
    </row>
    <row r="336" spans="1:10" x14ac:dyDescent="0.2">
      <c r="A336" s="305"/>
      <c r="B336" s="291">
        <v>1</v>
      </c>
      <c r="C336" s="300"/>
      <c r="D336" s="301"/>
      <c r="E336" s="294"/>
      <c r="F336" s="294"/>
      <c r="G336" s="294"/>
      <c r="H336" s="299"/>
      <c r="J336" s="10" t="str">
        <f t="shared" si="0"/>
        <v/>
      </c>
    </row>
    <row r="337" spans="1:10" x14ac:dyDescent="0.2">
      <c r="A337" s="278"/>
      <c r="B337" s="279">
        <v>2</v>
      </c>
      <c r="C337" s="280"/>
      <c r="D337" s="281"/>
      <c r="E337" s="282"/>
      <c r="F337" s="282"/>
      <c r="G337" s="282"/>
      <c r="H337" s="277"/>
      <c r="J337" s="10" t="str">
        <f t="shared" si="0"/>
        <v/>
      </c>
    </row>
    <row r="338" spans="1:10" x14ac:dyDescent="0.2">
      <c r="A338" s="283"/>
      <c r="B338" s="279">
        <v>3</v>
      </c>
      <c r="C338" s="280"/>
      <c r="D338" s="281"/>
      <c r="E338" s="282"/>
      <c r="F338" s="282"/>
      <c r="G338" s="282"/>
      <c r="H338" s="277"/>
      <c r="J338" s="10" t="str">
        <f t="shared" si="0"/>
        <v/>
      </c>
    </row>
    <row r="339" spans="1:10" x14ac:dyDescent="0.2">
      <c r="A339" s="284"/>
      <c r="B339" s="279">
        <v>4</v>
      </c>
      <c r="C339" s="280"/>
      <c r="D339" s="281"/>
      <c r="E339" s="282"/>
      <c r="F339" s="282"/>
      <c r="G339" s="282"/>
      <c r="H339" s="277"/>
      <c r="J339" s="10" t="str">
        <f t="shared" si="0"/>
        <v/>
      </c>
    </row>
    <row r="340" spans="1:10" x14ac:dyDescent="0.2">
      <c r="A340" s="284"/>
      <c r="B340" s="279">
        <v>5</v>
      </c>
      <c r="C340" s="280"/>
      <c r="D340" s="281"/>
      <c r="E340" s="282"/>
      <c r="F340" s="282"/>
      <c r="G340" s="282"/>
      <c r="H340" s="277"/>
      <c r="J340" s="10" t="str">
        <f t="shared" ref="J340:J382" si="1">IF(A340="","",A340+2)</f>
        <v/>
      </c>
    </row>
    <row r="341" spans="1:10" x14ac:dyDescent="0.2">
      <c r="A341" s="285"/>
      <c r="B341" s="286">
        <v>6</v>
      </c>
      <c r="C341" s="302"/>
      <c r="D341" s="303"/>
      <c r="E341" s="289"/>
      <c r="F341" s="289"/>
      <c r="G341" s="289"/>
      <c r="H341" s="290"/>
      <c r="J341" s="10" t="str">
        <f t="shared" si="1"/>
        <v/>
      </c>
    </row>
    <row r="342" spans="1:10" x14ac:dyDescent="0.2">
      <c r="A342" s="296"/>
      <c r="B342" s="297">
        <v>1</v>
      </c>
      <c r="C342" s="300"/>
      <c r="D342" s="301"/>
      <c r="E342" s="298"/>
      <c r="F342" s="298"/>
      <c r="G342" s="298"/>
      <c r="H342" s="299"/>
      <c r="J342" s="10" t="str">
        <f t="shared" si="1"/>
        <v/>
      </c>
    </row>
    <row r="343" spans="1:10" x14ac:dyDescent="0.2">
      <c r="A343" s="278"/>
      <c r="B343" s="279">
        <v>2</v>
      </c>
      <c r="C343" s="280"/>
      <c r="D343" s="281"/>
      <c r="E343" s="282"/>
      <c r="F343" s="282"/>
      <c r="G343" s="282"/>
      <c r="H343" s="277"/>
      <c r="J343" s="10" t="str">
        <f t="shared" si="1"/>
        <v/>
      </c>
    </row>
    <row r="344" spans="1:10" x14ac:dyDescent="0.2">
      <c r="A344" s="283"/>
      <c r="B344" s="279">
        <v>3</v>
      </c>
      <c r="C344" s="280"/>
      <c r="D344" s="281"/>
      <c r="E344" s="282"/>
      <c r="F344" s="282"/>
      <c r="G344" s="282"/>
      <c r="H344" s="277"/>
      <c r="J344" s="10" t="str">
        <f t="shared" si="1"/>
        <v/>
      </c>
    </row>
    <row r="345" spans="1:10" x14ac:dyDescent="0.2">
      <c r="A345" s="284"/>
      <c r="B345" s="279">
        <v>4</v>
      </c>
      <c r="C345" s="280"/>
      <c r="D345" s="281"/>
      <c r="E345" s="282"/>
      <c r="F345" s="282"/>
      <c r="G345" s="282"/>
      <c r="H345" s="277"/>
      <c r="J345" s="10" t="str">
        <f t="shared" si="1"/>
        <v/>
      </c>
    </row>
    <row r="346" spans="1:10" x14ac:dyDescent="0.2">
      <c r="A346" s="284"/>
      <c r="B346" s="279">
        <v>5</v>
      </c>
      <c r="C346" s="280"/>
      <c r="D346" s="281"/>
      <c r="E346" s="282"/>
      <c r="F346" s="282"/>
      <c r="G346" s="282"/>
      <c r="H346" s="277"/>
      <c r="J346" s="10" t="str">
        <f t="shared" si="1"/>
        <v/>
      </c>
    </row>
    <row r="347" spans="1:10" x14ac:dyDescent="0.2">
      <c r="A347" s="285"/>
      <c r="B347" s="297">
        <v>6</v>
      </c>
      <c r="C347" s="302"/>
      <c r="D347" s="303"/>
      <c r="E347" s="298"/>
      <c r="F347" s="298"/>
      <c r="G347" s="298"/>
      <c r="H347" s="290"/>
      <c r="J347" s="10" t="str">
        <f t="shared" si="1"/>
        <v/>
      </c>
    </row>
    <row r="348" spans="1:10" x14ac:dyDescent="0.2">
      <c r="A348" s="305"/>
      <c r="B348" s="291">
        <v>1</v>
      </c>
      <c r="C348" s="300"/>
      <c r="D348" s="301"/>
      <c r="E348" s="294"/>
      <c r="F348" s="294"/>
      <c r="G348" s="294"/>
      <c r="H348" s="277"/>
      <c r="J348" s="10" t="str">
        <f t="shared" si="1"/>
        <v/>
      </c>
    </row>
    <row r="349" spans="1:10" x14ac:dyDescent="0.2">
      <c r="A349" s="278"/>
      <c r="B349" s="279">
        <v>2</v>
      </c>
      <c r="C349" s="280"/>
      <c r="D349" s="281"/>
      <c r="E349" s="282"/>
      <c r="F349" s="282"/>
      <c r="G349" s="282"/>
      <c r="H349" s="277"/>
      <c r="J349" s="10" t="str">
        <f t="shared" si="1"/>
        <v/>
      </c>
    </row>
    <row r="350" spans="1:10" x14ac:dyDescent="0.2">
      <c r="A350" s="283"/>
      <c r="B350" s="279">
        <v>3</v>
      </c>
      <c r="C350" s="280"/>
      <c r="D350" s="281"/>
      <c r="E350" s="282"/>
      <c r="F350" s="282"/>
      <c r="G350" s="282"/>
      <c r="H350" s="277"/>
      <c r="J350" s="10" t="str">
        <f t="shared" si="1"/>
        <v/>
      </c>
    </row>
    <row r="351" spans="1:10" x14ac:dyDescent="0.2">
      <c r="A351" s="284"/>
      <c r="B351" s="279">
        <v>4</v>
      </c>
      <c r="C351" s="280"/>
      <c r="D351" s="281"/>
      <c r="E351" s="282"/>
      <c r="F351" s="282"/>
      <c r="G351" s="282"/>
      <c r="H351" s="277"/>
      <c r="J351" s="10" t="str">
        <f t="shared" si="1"/>
        <v/>
      </c>
    </row>
    <row r="352" spans="1:10" x14ac:dyDescent="0.2">
      <c r="A352" s="284"/>
      <c r="B352" s="279">
        <v>5</v>
      </c>
      <c r="C352" s="280"/>
      <c r="D352" s="281"/>
      <c r="E352" s="282"/>
      <c r="F352" s="282"/>
      <c r="G352" s="282"/>
      <c r="H352" s="277"/>
    </row>
    <row r="353" spans="1:8" x14ac:dyDescent="0.2">
      <c r="A353" s="285"/>
      <c r="B353" s="286">
        <v>6</v>
      </c>
      <c r="C353" s="302"/>
      <c r="D353" s="303"/>
      <c r="E353" s="289"/>
      <c r="F353" s="289"/>
      <c r="G353" s="289"/>
      <c r="H353" s="290"/>
    </row>
    <row r="354" spans="1:8" x14ac:dyDescent="0.2">
      <c r="A354" s="296"/>
      <c r="B354" s="306">
        <v>1</v>
      </c>
      <c r="C354" s="300"/>
      <c r="D354" s="307"/>
      <c r="E354" s="298"/>
      <c r="F354" s="298"/>
      <c r="G354" s="298"/>
      <c r="H354" s="299"/>
    </row>
    <row r="355" spans="1:8" x14ac:dyDescent="0.2">
      <c r="A355" s="278"/>
      <c r="B355" s="279">
        <v>2</v>
      </c>
      <c r="C355" s="287"/>
      <c r="D355" s="281"/>
      <c r="E355" s="282"/>
      <c r="F355" s="282"/>
      <c r="G355" s="282"/>
      <c r="H355" s="277"/>
    </row>
    <row r="356" spans="1:8" x14ac:dyDescent="0.2">
      <c r="A356" s="283"/>
      <c r="B356" s="279">
        <v>3</v>
      </c>
      <c r="C356" s="280"/>
      <c r="D356" s="281"/>
      <c r="E356" s="282"/>
      <c r="F356" s="282"/>
      <c r="G356" s="282"/>
      <c r="H356" s="277"/>
    </row>
    <row r="357" spans="1:8" x14ac:dyDescent="0.2">
      <c r="A357" s="284"/>
      <c r="B357" s="279">
        <v>4</v>
      </c>
      <c r="C357" s="280"/>
      <c r="D357" s="281"/>
      <c r="E357" s="282"/>
      <c r="F357" s="282"/>
      <c r="G357" s="282"/>
      <c r="H357" s="277"/>
    </row>
    <row r="358" spans="1:8" x14ac:dyDescent="0.2">
      <c r="A358" s="284"/>
      <c r="B358" s="279">
        <v>5</v>
      </c>
      <c r="C358" s="280"/>
      <c r="D358" s="281"/>
      <c r="E358" s="282"/>
      <c r="F358" s="282"/>
      <c r="G358" s="282"/>
      <c r="H358" s="277"/>
    </row>
    <row r="359" spans="1:8" ht="13.5" thickBot="1" x14ac:dyDescent="0.25">
      <c r="A359" s="308"/>
      <c r="B359" s="309">
        <v>6</v>
      </c>
      <c r="C359" s="310"/>
      <c r="D359" s="311"/>
      <c r="E359" s="312"/>
      <c r="F359" s="312"/>
      <c r="G359" s="312"/>
      <c r="H359" s="313"/>
    </row>
    <row r="360" spans="1:8" x14ac:dyDescent="0.2">
      <c r="A360" s="263"/>
      <c r="B360" s="263"/>
      <c r="C360" s="263"/>
      <c r="D360" s="263"/>
      <c r="E360" s="263"/>
      <c r="F360" s="263"/>
      <c r="G360" s="263"/>
      <c r="H360" s="263"/>
    </row>
    <row r="361" spans="1:8" x14ac:dyDescent="0.2">
      <c r="A361" s="603" t="s">
        <v>59</v>
      </c>
      <c r="B361" s="603"/>
      <c r="C361" s="603"/>
      <c r="D361" s="603"/>
      <c r="E361" s="603"/>
      <c r="F361" s="603"/>
      <c r="G361" s="603"/>
      <c r="H361" s="603"/>
    </row>
    <row r="362" spans="1:8" ht="13.5" thickBot="1" x14ac:dyDescent="0.25">
      <c r="A362" s="263"/>
      <c r="B362" s="263"/>
      <c r="C362" s="263"/>
      <c r="D362" s="263"/>
      <c r="E362" s="263"/>
      <c r="F362" s="263"/>
      <c r="G362" s="263"/>
      <c r="H362" s="263"/>
    </row>
    <row r="363" spans="1:8" x14ac:dyDescent="0.2">
      <c r="A363" s="264" t="s">
        <v>346</v>
      </c>
      <c r="B363" s="590" t="s">
        <v>347</v>
      </c>
      <c r="C363" s="593" t="s">
        <v>356</v>
      </c>
      <c r="D363" s="265"/>
      <c r="E363" s="596" t="s">
        <v>349</v>
      </c>
      <c r="F363" s="604" t="s">
        <v>350</v>
      </c>
      <c r="G363" s="599"/>
      <c r="H363" s="266" t="s">
        <v>351</v>
      </c>
    </row>
    <row r="364" spans="1:8" x14ac:dyDescent="0.2">
      <c r="A364" s="267" t="s">
        <v>172</v>
      </c>
      <c r="B364" s="591"/>
      <c r="C364" s="594"/>
      <c r="D364" s="268"/>
      <c r="E364" s="597"/>
      <c r="F364" s="605" t="s">
        <v>116</v>
      </c>
      <c r="G364" s="594" t="s">
        <v>117</v>
      </c>
      <c r="H364" s="269" t="s">
        <v>353</v>
      </c>
    </row>
    <row r="365" spans="1:8" ht="13.5" thickBot="1" x14ac:dyDescent="0.25">
      <c r="A365" s="270" t="s">
        <v>354</v>
      </c>
      <c r="B365" s="592"/>
      <c r="C365" s="595"/>
      <c r="D365" s="271"/>
      <c r="E365" s="598"/>
      <c r="F365" s="602"/>
      <c r="G365" s="595"/>
      <c r="H365" s="272" t="s">
        <v>355</v>
      </c>
    </row>
    <row r="366" spans="1:8" ht="13.5" thickTop="1" x14ac:dyDescent="0.2">
      <c r="A366" s="305"/>
      <c r="B366" s="297">
        <v>1</v>
      </c>
      <c r="C366" s="292"/>
      <c r="D366" s="307"/>
      <c r="E366" s="294"/>
      <c r="F366" s="294"/>
      <c r="G366" s="294"/>
      <c r="H366" s="277"/>
    </row>
    <row r="367" spans="1:8" x14ac:dyDescent="0.2">
      <c r="A367" s="278"/>
      <c r="B367" s="279">
        <v>2</v>
      </c>
      <c r="C367" s="280"/>
      <c r="D367" s="281"/>
      <c r="E367" s="282"/>
      <c r="F367" s="282"/>
      <c r="G367" s="282"/>
      <c r="H367" s="277"/>
    </row>
    <row r="368" spans="1:8" x14ac:dyDescent="0.2">
      <c r="A368" s="283"/>
      <c r="B368" s="279">
        <v>3</v>
      </c>
      <c r="C368" s="280"/>
      <c r="D368" s="281"/>
      <c r="E368" s="282"/>
      <c r="F368" s="282"/>
      <c r="G368" s="282"/>
      <c r="H368" s="277"/>
    </row>
    <row r="369" spans="1:10" x14ac:dyDescent="0.2">
      <c r="A369" s="284"/>
      <c r="B369" s="279">
        <v>4</v>
      </c>
      <c r="C369" s="280"/>
      <c r="D369" s="281"/>
      <c r="E369" s="282"/>
      <c r="F369" s="282"/>
      <c r="G369" s="282"/>
      <c r="H369" s="277"/>
    </row>
    <row r="370" spans="1:10" x14ac:dyDescent="0.2">
      <c r="A370" s="284"/>
      <c r="B370" s="279">
        <v>5</v>
      </c>
      <c r="C370" s="280"/>
      <c r="D370" s="281"/>
      <c r="E370" s="282"/>
      <c r="F370" s="282"/>
      <c r="G370" s="282"/>
      <c r="H370" s="277"/>
    </row>
    <row r="371" spans="1:10" x14ac:dyDescent="0.2">
      <c r="A371" s="285"/>
      <c r="B371" s="297">
        <v>6</v>
      </c>
      <c r="C371" s="295"/>
      <c r="D371" s="288"/>
      <c r="E371" s="289"/>
      <c r="F371" s="289"/>
      <c r="G371" s="289"/>
      <c r="H371" s="290"/>
    </row>
    <row r="372" spans="1:10" x14ac:dyDescent="0.2">
      <c r="A372" s="284"/>
      <c r="B372" s="335">
        <v>1</v>
      </c>
      <c r="C372" s="300"/>
      <c r="D372" s="301"/>
      <c r="E372" s="336"/>
      <c r="F372" s="336"/>
      <c r="G372" s="336"/>
      <c r="H372" s="277"/>
    </row>
    <row r="373" spans="1:10" x14ac:dyDescent="0.2">
      <c r="A373" s="278"/>
      <c r="B373" s="279">
        <v>2</v>
      </c>
      <c r="C373" s="280"/>
      <c r="D373" s="281"/>
      <c r="E373" s="282"/>
      <c r="F373" s="282"/>
      <c r="G373" s="280"/>
      <c r="H373" s="277"/>
    </row>
    <row r="374" spans="1:10" x14ac:dyDescent="0.2">
      <c r="A374" s="283"/>
      <c r="B374" s="279">
        <v>3</v>
      </c>
      <c r="C374" s="280"/>
      <c r="D374" s="281"/>
      <c r="E374" s="282"/>
      <c r="F374" s="282"/>
      <c r="G374" s="280"/>
      <c r="H374" s="277"/>
      <c r="J374" s="10" t="str">
        <f t="shared" si="1"/>
        <v/>
      </c>
    </row>
    <row r="375" spans="1:10" x14ac:dyDescent="0.2">
      <c r="A375" s="284"/>
      <c r="B375" s="279">
        <v>4</v>
      </c>
      <c r="C375" s="280"/>
      <c r="D375" s="281"/>
      <c r="E375" s="282"/>
      <c r="F375" s="282"/>
      <c r="G375" s="280"/>
      <c r="H375" s="277"/>
      <c r="J375" s="10" t="str">
        <f t="shared" si="1"/>
        <v/>
      </c>
    </row>
    <row r="376" spans="1:10" x14ac:dyDescent="0.2">
      <c r="A376" s="284"/>
      <c r="B376" s="279">
        <v>5</v>
      </c>
      <c r="C376" s="280"/>
      <c r="D376" s="281"/>
      <c r="E376" s="282"/>
      <c r="F376" s="282"/>
      <c r="G376" s="280"/>
      <c r="H376" s="277"/>
      <c r="J376" s="10" t="str">
        <f t="shared" si="1"/>
        <v/>
      </c>
    </row>
    <row r="377" spans="1:10" x14ac:dyDescent="0.2">
      <c r="A377" s="285"/>
      <c r="B377" s="328">
        <v>6</v>
      </c>
      <c r="C377" s="302"/>
      <c r="D377" s="330"/>
      <c r="E377" s="337"/>
      <c r="F377" s="337"/>
      <c r="G377" s="302"/>
      <c r="H377" s="290"/>
      <c r="J377" s="10" t="str">
        <f t="shared" si="1"/>
        <v/>
      </c>
    </row>
    <row r="378" spans="1:10" x14ac:dyDescent="0.2">
      <c r="A378" s="296"/>
      <c r="B378" s="335">
        <v>1</v>
      </c>
      <c r="C378" s="300"/>
      <c r="D378" s="301"/>
      <c r="E378" s="336"/>
      <c r="F378" s="336"/>
      <c r="G378" s="336"/>
      <c r="H378" s="299"/>
      <c r="J378" s="10" t="str">
        <f t="shared" si="1"/>
        <v/>
      </c>
    </row>
    <row r="379" spans="1:10" x14ac:dyDescent="0.2">
      <c r="A379" s="278"/>
      <c r="B379" s="279">
        <v>2</v>
      </c>
      <c r="C379" s="280"/>
      <c r="D379" s="281"/>
      <c r="E379" s="282"/>
      <c r="F379" s="282"/>
      <c r="G379" s="282"/>
      <c r="H379" s="277"/>
      <c r="J379" s="10" t="str">
        <f t="shared" si="1"/>
        <v/>
      </c>
    </row>
    <row r="380" spans="1:10" x14ac:dyDescent="0.2">
      <c r="A380" s="283"/>
      <c r="B380" s="279">
        <v>3</v>
      </c>
      <c r="C380" s="280"/>
      <c r="D380" s="281"/>
      <c r="E380" s="282"/>
      <c r="F380" s="282"/>
      <c r="G380" s="282"/>
      <c r="H380" s="277"/>
      <c r="J380" s="10" t="str">
        <f t="shared" si="1"/>
        <v/>
      </c>
    </row>
    <row r="381" spans="1:10" x14ac:dyDescent="0.2">
      <c r="A381" s="284"/>
      <c r="B381" s="279">
        <v>4</v>
      </c>
      <c r="C381" s="280"/>
      <c r="D381" s="281"/>
      <c r="E381" s="282"/>
      <c r="F381" s="282"/>
      <c r="G381" s="282"/>
      <c r="H381" s="277"/>
      <c r="J381" s="10" t="str">
        <f t="shared" si="1"/>
        <v/>
      </c>
    </row>
    <row r="382" spans="1:10" x14ac:dyDescent="0.2">
      <c r="A382" s="284"/>
      <c r="B382" s="279">
        <v>5</v>
      </c>
      <c r="C382" s="280"/>
      <c r="D382" s="281"/>
      <c r="E382" s="282"/>
      <c r="F382" s="282"/>
      <c r="G382" s="282"/>
      <c r="H382" s="277"/>
      <c r="J382" s="10" t="str">
        <f t="shared" si="1"/>
        <v/>
      </c>
    </row>
    <row r="383" spans="1:10" x14ac:dyDescent="0.2">
      <c r="A383" s="285"/>
      <c r="B383" s="328">
        <v>6</v>
      </c>
      <c r="C383" s="302"/>
      <c r="D383" s="330"/>
      <c r="E383" s="337"/>
      <c r="F383" s="337"/>
      <c r="G383" s="337"/>
      <c r="H383" s="290"/>
    </row>
    <row r="384" spans="1:10" x14ac:dyDescent="0.2">
      <c r="A384" s="338"/>
      <c r="B384" s="335">
        <v>1</v>
      </c>
      <c r="C384" s="300"/>
      <c r="D384" s="301"/>
      <c r="E384" s="336"/>
      <c r="F384" s="336"/>
      <c r="G384" s="336"/>
      <c r="H384" s="299"/>
    </row>
    <row r="385" spans="1:8" x14ac:dyDescent="0.2">
      <c r="A385" s="278"/>
      <c r="B385" s="339">
        <v>2</v>
      </c>
      <c r="C385" s="280"/>
      <c r="D385" s="281"/>
      <c r="E385" s="282"/>
      <c r="F385" s="282"/>
      <c r="G385" s="282"/>
      <c r="H385" s="277"/>
    </row>
    <row r="386" spans="1:8" x14ac:dyDescent="0.2">
      <c r="A386" s="283"/>
      <c r="B386" s="279">
        <v>3</v>
      </c>
      <c r="C386" s="280"/>
      <c r="D386" s="281"/>
      <c r="E386" s="282"/>
      <c r="F386" s="282"/>
      <c r="G386" s="282"/>
      <c r="H386" s="277"/>
    </row>
    <row r="387" spans="1:8" x14ac:dyDescent="0.2">
      <c r="A387" s="284"/>
      <c r="B387" s="279">
        <v>4</v>
      </c>
      <c r="C387" s="280"/>
      <c r="D387" s="281"/>
      <c r="E387" s="282"/>
      <c r="F387" s="282"/>
      <c r="G387" s="282"/>
      <c r="H387" s="277"/>
    </row>
    <row r="388" spans="1:8" x14ac:dyDescent="0.2">
      <c r="A388" s="284"/>
      <c r="B388" s="279">
        <v>5</v>
      </c>
      <c r="C388" s="280"/>
      <c r="D388" s="281"/>
      <c r="E388" s="282"/>
      <c r="F388" s="282"/>
      <c r="G388" s="282"/>
      <c r="H388" s="277"/>
    </row>
    <row r="389" spans="1:8" x14ac:dyDescent="0.2">
      <c r="A389" s="285"/>
      <c r="B389" s="328">
        <v>6</v>
      </c>
      <c r="C389" s="302"/>
      <c r="D389" s="303"/>
      <c r="E389" s="337"/>
      <c r="F389" s="337"/>
      <c r="G389" s="337"/>
      <c r="H389" s="290"/>
    </row>
    <row r="390" spans="1:8" x14ac:dyDescent="0.2">
      <c r="A390" s="305"/>
      <c r="B390" s="335">
        <v>1</v>
      </c>
      <c r="C390" s="300"/>
      <c r="D390" s="301"/>
      <c r="E390" s="336"/>
      <c r="F390" s="336"/>
      <c r="G390" s="336"/>
      <c r="H390" s="299"/>
    </row>
    <row r="391" spans="1:8" x14ac:dyDescent="0.2">
      <c r="A391" s="278"/>
      <c r="B391" s="339">
        <v>2</v>
      </c>
      <c r="C391" s="280"/>
      <c r="D391" s="281"/>
      <c r="E391" s="282"/>
      <c r="F391" s="282"/>
      <c r="G391" s="282"/>
      <c r="H391" s="277"/>
    </row>
    <row r="392" spans="1:8" x14ac:dyDescent="0.2">
      <c r="A392" s="283"/>
      <c r="B392" s="279">
        <v>3</v>
      </c>
      <c r="C392" s="280"/>
      <c r="D392" s="281"/>
      <c r="E392" s="282"/>
      <c r="F392" s="282"/>
      <c r="G392" s="282"/>
      <c r="H392" s="277"/>
    </row>
    <row r="393" spans="1:8" x14ac:dyDescent="0.2">
      <c r="A393" s="284"/>
      <c r="B393" s="279">
        <v>4</v>
      </c>
      <c r="C393" s="280"/>
      <c r="D393" s="281"/>
      <c r="E393" s="282"/>
      <c r="F393" s="282"/>
      <c r="G393" s="282"/>
      <c r="H393" s="277"/>
    </row>
    <row r="394" spans="1:8" x14ac:dyDescent="0.2">
      <c r="A394" s="284"/>
      <c r="B394" s="279">
        <v>5</v>
      </c>
      <c r="C394" s="280"/>
      <c r="D394" s="281"/>
      <c r="E394" s="282"/>
      <c r="F394" s="282"/>
      <c r="G394" s="282"/>
      <c r="H394" s="277"/>
    </row>
    <row r="395" spans="1:8" x14ac:dyDescent="0.2">
      <c r="A395" s="285"/>
      <c r="B395" s="328">
        <v>6</v>
      </c>
      <c r="C395" s="302"/>
      <c r="D395" s="303"/>
      <c r="E395" s="337"/>
      <c r="F395" s="337"/>
      <c r="G395" s="337"/>
      <c r="H395" s="290"/>
    </row>
    <row r="396" spans="1:8" x14ac:dyDescent="0.2">
      <c r="A396" s="305"/>
      <c r="B396" s="340">
        <v>1</v>
      </c>
      <c r="C396" s="300"/>
      <c r="D396" s="301"/>
      <c r="E396" s="336"/>
      <c r="F396" s="336"/>
      <c r="G396" s="336"/>
      <c r="H396" s="299"/>
    </row>
    <row r="397" spans="1:8" x14ac:dyDescent="0.2">
      <c r="A397" s="278"/>
      <c r="B397" s="341">
        <v>2</v>
      </c>
      <c r="C397" s="280"/>
      <c r="D397" s="281"/>
      <c r="E397" s="282"/>
      <c r="F397" s="282"/>
      <c r="G397" s="282"/>
      <c r="H397" s="277"/>
    </row>
    <row r="398" spans="1:8" x14ac:dyDescent="0.2">
      <c r="A398" s="283"/>
      <c r="B398" s="341">
        <v>3</v>
      </c>
      <c r="C398" s="280"/>
      <c r="D398" s="281"/>
      <c r="E398" s="282"/>
      <c r="F398" s="282"/>
      <c r="G398" s="282"/>
      <c r="H398" s="277"/>
    </row>
    <row r="399" spans="1:8" x14ac:dyDescent="0.2">
      <c r="A399" s="284"/>
      <c r="B399" s="341">
        <v>4</v>
      </c>
      <c r="C399" s="280"/>
      <c r="D399" s="281"/>
      <c r="E399" s="282"/>
      <c r="F399" s="282"/>
      <c r="G399" s="282"/>
      <c r="H399" s="277"/>
    </row>
    <row r="400" spans="1:8" x14ac:dyDescent="0.2">
      <c r="A400" s="284"/>
      <c r="B400" s="341">
        <v>5</v>
      </c>
      <c r="C400" s="280"/>
      <c r="D400" s="281"/>
      <c r="E400" s="282"/>
      <c r="F400" s="282"/>
      <c r="G400" s="282"/>
      <c r="H400" s="277"/>
    </row>
    <row r="401" spans="1:8" x14ac:dyDescent="0.2">
      <c r="A401" s="285"/>
      <c r="B401" s="342">
        <v>6</v>
      </c>
      <c r="C401" s="329"/>
      <c r="D401" s="330"/>
      <c r="E401" s="337"/>
      <c r="F401" s="337"/>
      <c r="G401" s="337"/>
      <c r="H401" s="290"/>
    </row>
    <row r="402" spans="1:8" x14ac:dyDescent="0.2">
      <c r="A402" s="305"/>
      <c r="B402" s="340">
        <v>1</v>
      </c>
      <c r="C402" s="300"/>
      <c r="D402" s="301"/>
      <c r="E402" s="336"/>
      <c r="F402" s="336"/>
      <c r="G402" s="336"/>
      <c r="H402" s="299"/>
    </row>
    <row r="403" spans="1:8" x14ac:dyDescent="0.2">
      <c r="A403" s="278"/>
      <c r="B403" s="341">
        <v>2</v>
      </c>
      <c r="C403" s="280"/>
      <c r="D403" s="281"/>
      <c r="E403" s="282"/>
      <c r="F403" s="282"/>
      <c r="G403" s="282"/>
      <c r="H403" s="277"/>
    </row>
    <row r="404" spans="1:8" x14ac:dyDescent="0.2">
      <c r="A404" s="283"/>
      <c r="B404" s="341">
        <v>3</v>
      </c>
      <c r="C404" s="280"/>
      <c r="D404" s="281"/>
      <c r="E404" s="282"/>
      <c r="F404" s="282"/>
      <c r="G404" s="282"/>
      <c r="H404" s="277"/>
    </row>
    <row r="405" spans="1:8" x14ac:dyDescent="0.2">
      <c r="A405" s="284"/>
      <c r="B405" s="341">
        <v>4</v>
      </c>
      <c r="C405" s="280"/>
      <c r="D405" s="281"/>
      <c r="E405" s="282"/>
      <c r="F405" s="282"/>
      <c r="G405" s="282"/>
      <c r="H405" s="277"/>
    </row>
    <row r="406" spans="1:8" x14ac:dyDescent="0.2">
      <c r="A406" s="284"/>
      <c r="B406" s="341">
        <v>5</v>
      </c>
      <c r="C406" s="280"/>
      <c r="D406" s="281"/>
      <c r="E406" s="282"/>
      <c r="F406" s="282"/>
      <c r="G406" s="282"/>
      <c r="H406" s="277"/>
    </row>
    <row r="407" spans="1:8" x14ac:dyDescent="0.2">
      <c r="A407" s="285"/>
      <c r="B407" s="342">
        <v>6</v>
      </c>
      <c r="C407" s="280"/>
      <c r="D407" s="330"/>
      <c r="E407" s="337"/>
      <c r="F407" s="337"/>
      <c r="G407" s="337"/>
      <c r="H407" s="290"/>
    </row>
    <row r="408" spans="1:8" x14ac:dyDescent="0.2">
      <c r="A408" s="305"/>
      <c r="B408" s="340">
        <v>1</v>
      </c>
      <c r="C408" s="300"/>
      <c r="D408" s="301"/>
      <c r="E408" s="336"/>
      <c r="F408" s="336"/>
      <c r="G408" s="336"/>
      <c r="H408" s="277"/>
    </row>
    <row r="409" spans="1:8" x14ac:dyDescent="0.2">
      <c r="A409" s="278"/>
      <c r="B409" s="341">
        <v>2</v>
      </c>
      <c r="C409" s="280"/>
      <c r="D409" s="281"/>
      <c r="E409" s="282"/>
      <c r="F409" s="282"/>
      <c r="G409" s="282"/>
      <c r="H409" s="277"/>
    </row>
    <row r="410" spans="1:8" x14ac:dyDescent="0.2">
      <c r="A410" s="283"/>
      <c r="B410" s="341">
        <v>3</v>
      </c>
      <c r="C410" s="280"/>
      <c r="D410" s="281"/>
      <c r="E410" s="282"/>
      <c r="F410" s="282"/>
      <c r="G410" s="282"/>
      <c r="H410" s="277"/>
    </row>
    <row r="411" spans="1:8" x14ac:dyDescent="0.2">
      <c r="A411" s="284"/>
      <c r="B411" s="341">
        <v>4</v>
      </c>
      <c r="C411" s="280"/>
      <c r="D411" s="281"/>
      <c r="E411" s="282"/>
      <c r="F411" s="282"/>
      <c r="G411" s="282"/>
      <c r="H411" s="277"/>
    </row>
    <row r="412" spans="1:8" x14ac:dyDescent="0.2">
      <c r="A412" s="284"/>
      <c r="B412" s="341">
        <v>5</v>
      </c>
      <c r="C412" s="280"/>
      <c r="D412" s="281"/>
      <c r="E412" s="282"/>
      <c r="F412" s="282"/>
      <c r="G412" s="282"/>
      <c r="H412" s="277"/>
    </row>
    <row r="413" spans="1:8" x14ac:dyDescent="0.2">
      <c r="A413" s="285"/>
      <c r="B413" s="342">
        <v>6</v>
      </c>
      <c r="C413" s="280"/>
      <c r="D413" s="330"/>
      <c r="E413" s="337"/>
      <c r="F413" s="337"/>
      <c r="G413" s="337"/>
      <c r="H413" s="290"/>
    </row>
    <row r="414" spans="1:8" x14ac:dyDescent="0.2">
      <c r="A414" s="305"/>
      <c r="B414" s="343">
        <v>1</v>
      </c>
      <c r="C414" s="300"/>
      <c r="D414" s="301"/>
      <c r="E414" s="336"/>
      <c r="F414" s="336"/>
      <c r="G414" s="300"/>
      <c r="H414" s="299"/>
    </row>
    <row r="415" spans="1:8" x14ac:dyDescent="0.2">
      <c r="A415" s="278"/>
      <c r="B415" s="344">
        <v>2</v>
      </c>
      <c r="C415" s="280"/>
      <c r="D415" s="281"/>
      <c r="E415" s="282"/>
      <c r="F415" s="282"/>
      <c r="G415" s="280"/>
      <c r="H415" s="277"/>
    </row>
    <row r="416" spans="1:8" x14ac:dyDescent="0.2">
      <c r="A416" s="283"/>
      <c r="B416" s="344">
        <v>3</v>
      </c>
      <c r="C416" s="280"/>
      <c r="D416" s="281"/>
      <c r="E416" s="282"/>
      <c r="F416" s="282"/>
      <c r="G416" s="280"/>
      <c r="H416" s="277"/>
    </row>
    <row r="417" spans="1:8" x14ac:dyDescent="0.2">
      <c r="A417" s="284"/>
      <c r="B417" s="344">
        <v>4</v>
      </c>
      <c r="C417" s="280"/>
      <c r="D417" s="281"/>
      <c r="E417" s="282"/>
      <c r="F417" s="282"/>
      <c r="G417" s="280"/>
      <c r="H417" s="277"/>
    </row>
    <row r="418" spans="1:8" x14ac:dyDescent="0.2">
      <c r="A418" s="284"/>
      <c r="B418" s="344">
        <v>5</v>
      </c>
      <c r="C418" s="280"/>
      <c r="D418" s="281"/>
      <c r="E418" s="282"/>
      <c r="F418" s="282"/>
      <c r="G418" s="280"/>
      <c r="H418" s="277"/>
    </row>
    <row r="419" spans="1:8" ht="13.5" thickBot="1" x14ac:dyDescent="0.25">
      <c r="A419" s="345"/>
      <c r="B419" s="346">
        <v>6</v>
      </c>
      <c r="C419" s="331"/>
      <c r="D419" s="332"/>
      <c r="E419" s="347"/>
      <c r="F419" s="347"/>
      <c r="G419" s="331"/>
      <c r="H419" s="313"/>
    </row>
  </sheetData>
  <mergeCells count="49">
    <mergeCell ref="B63:B65"/>
    <mergeCell ref="C63:C65"/>
    <mergeCell ref="E63:E65"/>
    <mergeCell ref="F63:G63"/>
    <mergeCell ref="F64:F65"/>
    <mergeCell ref="G64:G65"/>
    <mergeCell ref="A1:H1"/>
    <mergeCell ref="A61:H61"/>
    <mergeCell ref="B3:B5"/>
    <mergeCell ref="E3:E5"/>
    <mergeCell ref="F3:G3"/>
    <mergeCell ref="C3:C5"/>
    <mergeCell ref="F4:F5"/>
    <mergeCell ref="G4:G5"/>
    <mergeCell ref="A361:H361"/>
    <mergeCell ref="B363:B365"/>
    <mergeCell ref="C363:C365"/>
    <mergeCell ref="E363:E365"/>
    <mergeCell ref="F363:G363"/>
    <mergeCell ref="F364:F365"/>
    <mergeCell ref="G364:G365"/>
    <mergeCell ref="A121:H121"/>
    <mergeCell ref="B123:B125"/>
    <mergeCell ref="C123:C125"/>
    <mergeCell ref="E123:E125"/>
    <mergeCell ref="F123:G123"/>
    <mergeCell ref="F124:F125"/>
    <mergeCell ref="G124:G125"/>
    <mergeCell ref="A181:H181"/>
    <mergeCell ref="B183:B185"/>
    <mergeCell ref="C183:C185"/>
    <mergeCell ref="E183:E185"/>
    <mergeCell ref="F183:G183"/>
    <mergeCell ref="F184:F185"/>
    <mergeCell ref="G184:G185"/>
    <mergeCell ref="A241:H241"/>
    <mergeCell ref="A301:H301"/>
    <mergeCell ref="B243:B245"/>
    <mergeCell ref="C243:C245"/>
    <mergeCell ref="E243:E245"/>
    <mergeCell ref="F243:G243"/>
    <mergeCell ref="F244:F245"/>
    <mergeCell ref="G244:G245"/>
    <mergeCell ref="B303:B305"/>
    <mergeCell ref="C303:C305"/>
    <mergeCell ref="E303:E305"/>
    <mergeCell ref="F303:G303"/>
    <mergeCell ref="F304:F305"/>
    <mergeCell ref="G304:G305"/>
  </mergeCells>
  <phoneticPr fontId="1"/>
  <pageMargins left="0.99" right="0.44" top="0.59055118110236227" bottom="0.59055118110236227" header="0.51181102362204722" footer="0.51181102362204722"/>
  <pageSetup paperSize="9" orientation="portrait" r:id="rId1"/>
  <headerFooter alignWithMargins="0"/>
  <rowBreaks count="6" manualBreakCount="6">
    <brk id="60" max="16383" man="1"/>
    <brk id="120" max="7" man="1"/>
    <brk id="180" max="7" man="1"/>
    <brk id="240" max="7" man="1"/>
    <brk id="300" max="7" man="1"/>
    <brk id="36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13"/>
  <sheetViews>
    <sheetView view="pageBreakPreview" zoomScale="110" zoomScaleSheetLayoutView="110" workbookViewId="0">
      <selection activeCell="J365" sqref="J365"/>
    </sheetView>
    <sheetView topLeftCell="A94" zoomScaleNormal="100" workbookViewId="1">
      <selection activeCell="B88" sqref="B88"/>
    </sheetView>
  </sheetViews>
  <sheetFormatPr defaultColWidth="13" defaultRowHeight="15.75" customHeight="1" x14ac:dyDescent="0.2"/>
  <cols>
    <col min="1" max="1" width="7.08984375" style="231" customWidth="1"/>
    <col min="2" max="2" width="13" style="231" customWidth="1"/>
    <col min="3" max="3" width="13" style="232" customWidth="1"/>
    <col min="4" max="4" width="7.08984375" style="231" customWidth="1"/>
    <col min="5" max="6" width="6.08984375" style="231" customWidth="1"/>
    <col min="7" max="7" width="3.6328125" style="231" customWidth="1"/>
    <col min="8" max="8" width="7.08984375" style="231" customWidth="1"/>
    <col min="9" max="9" width="13" style="231" customWidth="1"/>
    <col min="10" max="10" width="13" style="232" customWidth="1"/>
    <col min="11" max="11" width="7.36328125" style="231" customWidth="1"/>
    <col min="12" max="13" width="6.08984375" style="231" customWidth="1"/>
    <col min="14" max="16384" width="13" style="231"/>
  </cols>
  <sheetData>
    <row r="1" spans="1:13" s="243" customFormat="1" ht="15.75" customHeight="1" x14ac:dyDescent="0.2">
      <c r="A1" s="527" t="s">
        <v>357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</row>
    <row r="3" spans="1:13" s="243" customFormat="1" ht="15.75" customHeight="1" x14ac:dyDescent="0.2">
      <c r="A3" s="243" t="s">
        <v>358</v>
      </c>
      <c r="C3" s="244"/>
      <c r="J3" s="244"/>
    </row>
    <row r="4" spans="1:13" ht="15.75" customHeight="1" thickBot="1" x14ac:dyDescent="0.25"/>
    <row r="5" spans="1:13" ht="15.75" customHeight="1" thickBot="1" x14ac:dyDescent="0.25">
      <c r="A5" s="245" t="s">
        <v>359</v>
      </c>
      <c r="B5" s="606" t="str">
        <f>VLOOKUP(1,'１×Ｍ'!B3:J3,2)</f>
        <v>新居高校A</v>
      </c>
      <c r="C5" s="606" t="e">
        <f>IF(INDEX([1]選手登録!$A$3:$I$20,MATCH($A$9,[1]選手登録!$A$4:$A$20,),MATCH($B5,[1]選手登録!$A$3:$I$3,))&lt;&gt;"",INDEX([1]選手登録!$A$4:$I$20,MATCH($A$9,[1]選手登録!$A$4:$A$20,),MATCH($B5,[1]選手登録!$A$3:$I$3,)),"")</f>
        <v>#N/A</v>
      </c>
      <c r="D5" s="246" t="s">
        <v>360</v>
      </c>
      <c r="E5" s="607" t="str">
        <f>VLOOKUP(1,'１×Ｍ'!B3:J3,9)</f>
        <v>越智千紗都</v>
      </c>
      <c r="F5" s="608" t="e">
        <f>IF(INDEX([1]選手登録!$A$3:$I$20,MATCH($A$9,[1]選手登録!$A$4:$A$20,),MATCH($B5,[1]選手登録!$A$3:$I$3,))&lt;&gt;"",INDEX([1]選手登録!$A$4:$I$20,MATCH($A$9,[1]選手登録!$A$4:$A$20,),MATCH($B5,[1]選手登録!$A$3:$I$3,)),"")</f>
        <v>#N/A</v>
      </c>
      <c r="H5" s="245" t="s">
        <v>361</v>
      </c>
      <c r="I5" s="606" t="str">
        <f>VLOOKUP(2,'１×Ｍ'!B4:J4,2)</f>
        <v>新居高校B</v>
      </c>
      <c r="J5" s="606" t="e">
        <f>IF(INDEX([1]選手登録!$A$3:$I$20,MATCH($A$9,[1]選手登録!$A$4:$A$20,),MATCH($B5,[1]選手登録!$A$3:$I$3,))&lt;&gt;"",INDEX([1]選手登録!$A$4:$I$20,MATCH($A$9,[1]選手登録!$A$4:$A$20,),MATCH($B5,[1]選手登録!$A$3:$I$3,)),"")</f>
        <v>#N/A</v>
      </c>
      <c r="K5" s="246" t="s">
        <v>19</v>
      </c>
      <c r="L5" s="607" t="str">
        <f>VLOOKUP(2,'１×Ｍ'!B4:J4,9)</f>
        <v>越智千紗都</v>
      </c>
      <c r="M5" s="608" t="e">
        <f>IF(INDEX([1]選手登録!$A$3:$I$20,MATCH($A$9,[1]選手登録!$A$4:$A$20,),MATCH($B5,[1]選手登録!$A$3:$I$3,))&lt;&gt;"",INDEX([1]選手登録!$A$4:$I$20,MATCH($A$9,[1]選手登録!$A$4:$A$20,),MATCH($B5,[1]選手登録!$A$3:$I$3,)),"")</f>
        <v>#N/A</v>
      </c>
    </row>
    <row r="6" spans="1:13" ht="15.75" customHeight="1" x14ac:dyDescent="0.2">
      <c r="A6" s="247" t="s">
        <v>362</v>
      </c>
      <c r="B6" s="236" t="s">
        <v>336</v>
      </c>
      <c r="C6" s="237" t="s">
        <v>363</v>
      </c>
      <c r="D6" s="236" t="s">
        <v>364</v>
      </c>
      <c r="E6" s="238"/>
      <c r="F6" s="239"/>
      <c r="H6" s="247" t="s">
        <v>20</v>
      </c>
      <c r="I6" s="236" t="s">
        <v>24</v>
      </c>
      <c r="J6" s="237" t="s">
        <v>25</v>
      </c>
      <c r="K6" s="236" t="s">
        <v>21</v>
      </c>
      <c r="L6" s="238"/>
      <c r="M6" s="239"/>
    </row>
    <row r="7" spans="1:13" ht="15.75" customHeight="1" thickBot="1" x14ac:dyDescent="0.25">
      <c r="A7" s="248" t="s">
        <v>365</v>
      </c>
      <c r="B7" s="240" t="str">
        <f>VLOOKUP(1,'１×Ｍ'!B3:J3,4)</f>
        <v>髙村</v>
      </c>
      <c r="C7" s="241" t="str">
        <f>VLOOKUP(1,'１×Ｍ'!B3:J3,5)</f>
        <v>太一</v>
      </c>
      <c r="D7" s="240">
        <f>VLOOKUP(1,'１×Ｍ'!B3:J3,6)</f>
        <v>3</v>
      </c>
      <c r="E7" s="242"/>
      <c r="F7" s="232"/>
      <c r="H7" s="248" t="s">
        <v>22</v>
      </c>
      <c r="I7" s="240" t="str">
        <f>VLOOKUP(2,'１×Ｍ'!B4:J4,4)</f>
        <v>内山</v>
      </c>
      <c r="J7" s="241" t="str">
        <f>VLOOKUP(2,'１×Ｍ'!B4:J4,5)</f>
        <v>夢大</v>
      </c>
      <c r="K7" s="240">
        <f>VLOOKUP(2,'１×Ｍ'!B4:J4,6)</f>
        <v>3</v>
      </c>
      <c r="L7" s="242"/>
      <c r="M7" s="232"/>
    </row>
    <row r="8" spans="1:13" ht="15.75" customHeight="1" thickBot="1" x14ac:dyDescent="0.25">
      <c r="D8" s="232"/>
      <c r="E8" s="232"/>
      <c r="F8" s="232"/>
    </row>
    <row r="9" spans="1:13" ht="15.75" customHeight="1" thickBot="1" x14ac:dyDescent="0.25">
      <c r="A9" s="245" t="s">
        <v>366</v>
      </c>
      <c r="B9" s="606" t="str">
        <f>VLOOKUP(3,'１×Ｍ'!B5:J5,2)</f>
        <v>新居高校C</v>
      </c>
      <c r="C9" s="606" t="e">
        <f>IF(INDEX([1]選手登録!$A$3:$I$20,MATCH($A$9,[1]選手登録!$A$4:$A$20,),MATCH($B9,[1]選手登録!$A$3:$I$3,))&lt;&gt;"",INDEX([1]選手登録!$A$4:$I$20,MATCH($A$9,[1]選手登録!$A$4:$A$20,),MATCH($B9,[1]選手登録!$A$3:$I$3,)),"")</f>
        <v>#N/A</v>
      </c>
      <c r="D9" s="246" t="s">
        <v>19</v>
      </c>
      <c r="E9" s="607" t="str">
        <f>VLOOKUP(3,'１×Ｍ'!B5:J5,9)</f>
        <v>越智千紗都</v>
      </c>
      <c r="F9" s="608" t="e">
        <f>IF(INDEX([1]選手登録!$A$3:$I$20,MATCH($A$9,[1]選手登録!$A$4:$A$20,),MATCH($B9,[1]選手登録!$A$3:$I$3,))&lt;&gt;"",INDEX([1]選手登録!$A$4:$I$20,MATCH($A$9,[1]選手登録!$A$4:$A$20,),MATCH($B9,[1]選手登録!$A$3:$I$3,)),"")</f>
        <v>#N/A</v>
      </c>
      <c r="H9" s="245" t="s">
        <v>366</v>
      </c>
      <c r="I9" s="606" t="str">
        <f>VLOOKUP(4,'１×Ｍ'!B6:J6,2)</f>
        <v>新居高校D</v>
      </c>
      <c r="J9" s="606" t="e">
        <f>IF(INDEX([1]選手登録!$A$3:$I$20,MATCH($A$9,[1]選手登録!$A$4:$A$20,),MATCH($B9,[1]選手登録!$A$3:$I$3,))&lt;&gt;"",INDEX([1]選手登録!$A$4:$I$20,MATCH($A$9,[1]選手登録!$A$4:$A$20,),MATCH($B9,[1]選手登録!$A$3:$I$3,)),"")</f>
        <v>#N/A</v>
      </c>
      <c r="K9" s="246" t="s">
        <v>19</v>
      </c>
      <c r="L9" s="607" t="str">
        <f>VLOOKUP(4,'１×Ｍ'!B6:J6,9)</f>
        <v>越智千紗都</v>
      </c>
      <c r="M9" s="608" t="e">
        <f>IF(INDEX([1]選手登録!$A$3:$I$20,MATCH($A$9,[1]選手登録!$A$4:$A$20,),MATCH($B9,[1]選手登録!$A$3:$I$3,))&lt;&gt;"",INDEX([1]選手登録!$A$4:$I$20,MATCH($A$9,[1]選手登録!$A$4:$A$20,),MATCH($B9,[1]選手登録!$A$3:$I$3,)),"")</f>
        <v>#N/A</v>
      </c>
    </row>
    <row r="10" spans="1:13" ht="15.75" customHeight="1" x14ac:dyDescent="0.2">
      <c r="A10" s="247" t="s">
        <v>20</v>
      </c>
      <c r="B10" s="236" t="s">
        <v>24</v>
      </c>
      <c r="C10" s="237" t="s">
        <v>25</v>
      </c>
      <c r="D10" s="236" t="s">
        <v>21</v>
      </c>
      <c r="E10" s="238"/>
      <c r="F10" s="239"/>
      <c r="H10" s="247" t="s">
        <v>20</v>
      </c>
      <c r="I10" s="236" t="s">
        <v>24</v>
      </c>
      <c r="J10" s="237" t="s">
        <v>25</v>
      </c>
      <c r="K10" s="236" t="s">
        <v>21</v>
      </c>
      <c r="L10" s="238"/>
      <c r="M10" s="239"/>
    </row>
    <row r="11" spans="1:13" ht="15.75" customHeight="1" thickBot="1" x14ac:dyDescent="0.25">
      <c r="A11" s="248" t="s">
        <v>22</v>
      </c>
      <c r="B11" s="240" t="str">
        <f>VLOOKUP(3,'１×Ｍ'!B5:J5,4)</f>
        <v>魚住</v>
      </c>
      <c r="C11" s="241" t="str">
        <f>VLOOKUP(3,'１×Ｍ'!B5:J5,5)</f>
        <v>拓夢</v>
      </c>
      <c r="D11" s="240">
        <f>VLOOKUP(3,'１×Ｍ'!B5:J5,6)</f>
        <v>3</v>
      </c>
      <c r="E11" s="242"/>
      <c r="F11" s="232"/>
      <c r="H11" s="248" t="s">
        <v>22</v>
      </c>
      <c r="I11" s="240" t="str">
        <f>VLOOKUP(4,'１×Ｍ'!B6:J6,4)</f>
        <v>椛島</v>
      </c>
      <c r="J11" s="241" t="str">
        <f>VLOOKUP(4,'１×Ｍ'!B6:J6,5)</f>
        <v>令煌</v>
      </c>
      <c r="K11" s="240">
        <f>VLOOKUP(4,'１×Ｍ'!B6:J6,6)</f>
        <v>2</v>
      </c>
      <c r="L11" s="242"/>
      <c r="M11" s="232"/>
    </row>
    <row r="12" spans="1:13" ht="15.75" customHeight="1" thickBot="1" x14ac:dyDescent="0.25">
      <c r="D12" s="232"/>
      <c r="E12" s="232"/>
      <c r="F12" s="232"/>
    </row>
    <row r="13" spans="1:13" ht="15.75" customHeight="1" thickBot="1" x14ac:dyDescent="0.25">
      <c r="A13" s="245" t="s">
        <v>23</v>
      </c>
      <c r="B13" s="606" t="str">
        <f>VLOOKUP(5,'１×Ｍ'!B7:J7,2)</f>
        <v>新居高校E</v>
      </c>
      <c r="C13" s="606" t="e">
        <f>IF(INDEX([1]選手登録!$A$3:$I$20,MATCH($A$9,[1]選手登録!$A$4:$A$20,),MATCH($B13,[1]選手登録!$A$3:$I$3,))&lt;&gt;"",INDEX([1]選手登録!$A$4:$I$20,MATCH($A$9,[1]選手登録!$A$4:$A$20,),MATCH($B13,[1]選手登録!$A$3:$I$3,)),"")</f>
        <v>#N/A</v>
      </c>
      <c r="D13" s="246" t="s">
        <v>19</v>
      </c>
      <c r="E13" s="607" t="str">
        <f>VLOOKUP(5,'１×Ｍ'!B7:J7,9)</f>
        <v>越智千紗都</v>
      </c>
      <c r="F13" s="608" t="e">
        <f>IF(INDEX([1]選手登録!$A$3:$I$20,MATCH($A$9,[1]選手登録!$A$4:$A$20,),MATCH($B13,[1]選手登録!$A$3:$I$3,))&lt;&gt;"",INDEX([1]選手登録!$A$4:$I$20,MATCH($A$9,[1]選手登録!$A$4:$A$20,),MATCH($B13,[1]選手登録!$A$3:$I$3,)),"")</f>
        <v>#N/A</v>
      </c>
      <c r="H13" s="245" t="s">
        <v>23</v>
      </c>
      <c r="I13" s="606" t="str">
        <f>VLOOKUP(6,'１×Ｍ'!B8:J8,2)</f>
        <v>新居高校F</v>
      </c>
      <c r="J13" s="606" t="e">
        <f>IF(INDEX([1]選手登録!$A$3:$I$20,MATCH($A$9,[1]選手登録!$A$4:$A$20,),MATCH($B13,[1]選手登録!$A$3:$I$3,))&lt;&gt;"",INDEX([1]選手登録!$A$4:$I$20,MATCH($A$9,[1]選手登録!$A$4:$A$20,),MATCH($B13,[1]選手登録!$A$3:$I$3,)),"")</f>
        <v>#N/A</v>
      </c>
      <c r="K13" s="246" t="s">
        <v>19</v>
      </c>
      <c r="L13" s="607" t="str">
        <f>VLOOKUP(6,'１×Ｍ'!B8:J8,9)</f>
        <v>越智千紗都</v>
      </c>
      <c r="M13" s="608" t="e">
        <f>IF(INDEX([1]選手登録!$A$3:$I$20,MATCH($A$9,[1]選手登録!$A$4:$A$20,),MATCH($B13,[1]選手登録!$A$3:$I$3,))&lt;&gt;"",INDEX([1]選手登録!$A$4:$I$20,MATCH($A$9,[1]選手登録!$A$4:$A$20,),MATCH($B13,[1]選手登録!$A$3:$I$3,)),"")</f>
        <v>#N/A</v>
      </c>
    </row>
    <row r="14" spans="1:13" ht="15.75" customHeight="1" x14ac:dyDescent="0.2">
      <c r="A14" s="247" t="s">
        <v>20</v>
      </c>
      <c r="B14" s="236" t="s">
        <v>24</v>
      </c>
      <c r="C14" s="237" t="s">
        <v>25</v>
      </c>
      <c r="D14" s="236" t="s">
        <v>21</v>
      </c>
      <c r="E14" s="238"/>
      <c r="F14" s="239"/>
      <c r="H14" s="247" t="s">
        <v>20</v>
      </c>
      <c r="I14" s="236" t="s">
        <v>24</v>
      </c>
      <c r="J14" s="237" t="s">
        <v>25</v>
      </c>
      <c r="K14" s="236" t="s">
        <v>21</v>
      </c>
      <c r="L14" s="238"/>
      <c r="M14" s="239"/>
    </row>
    <row r="15" spans="1:13" ht="15.75" customHeight="1" thickBot="1" x14ac:dyDescent="0.25">
      <c r="A15" s="248" t="s">
        <v>22</v>
      </c>
      <c r="B15" s="240" t="str">
        <f>VLOOKUP(5,'１×Ｍ'!B7:J7,4)</f>
        <v>アレバロ</v>
      </c>
      <c r="C15" s="241" t="str">
        <f>VLOOKUP(5,'１×Ｍ'!B7:J7,5)</f>
        <v>ケイスケ</v>
      </c>
      <c r="D15" s="240">
        <f>VLOOKUP(5,'１×Ｍ'!B7:J7,6)</f>
        <v>2</v>
      </c>
      <c r="E15" s="242"/>
      <c r="F15" s="232"/>
      <c r="H15" s="248" t="s">
        <v>22</v>
      </c>
      <c r="I15" s="240" t="str">
        <f>VLOOKUP(6,'１×Ｍ'!B8:J8,4)</f>
        <v>青木</v>
      </c>
      <c r="J15" s="241" t="str">
        <f>VLOOKUP(6,'１×Ｍ'!B8:J8,5)</f>
        <v>唯翔</v>
      </c>
      <c r="K15" s="240">
        <f>VLOOKUP(6,'１×Ｍ'!B8:J8,6)</f>
        <v>2</v>
      </c>
      <c r="L15" s="242"/>
      <c r="M15" s="232"/>
    </row>
    <row r="16" spans="1:13" ht="15.75" customHeight="1" thickBot="1" x14ac:dyDescent="0.25"/>
    <row r="17" spans="1:13" ht="15.75" customHeight="1" thickBot="1" x14ac:dyDescent="0.25">
      <c r="A17" s="245" t="s">
        <v>23</v>
      </c>
      <c r="B17" s="606" t="str">
        <f>VLOOKUP(7,'１×Ｍ'!B9:J9,2)</f>
        <v>新居高校G</v>
      </c>
      <c r="C17" s="606" t="e">
        <f>IF(INDEX([1]選手登録!$A$3:$I$20,MATCH($A$9,[1]選手登録!$A$4:$A$20,),MATCH($B17,[1]選手登録!$A$3:$I$3,))&lt;&gt;"",INDEX([1]選手登録!$A$4:$I$20,MATCH($A$9,[1]選手登録!$A$4:$A$20,),MATCH($B17,[1]選手登録!$A$3:$I$3,)),"")</f>
        <v>#N/A</v>
      </c>
      <c r="D17" s="246" t="s">
        <v>19</v>
      </c>
      <c r="E17" s="607" t="str">
        <f>VLOOKUP(7,'１×Ｍ'!B9:J9,9)</f>
        <v>越智千紗都</v>
      </c>
      <c r="F17" s="608" t="e">
        <f>IF(INDEX([1]選手登録!$A$3:$I$20,MATCH($A$9,[1]選手登録!$A$4:$A$20,),MATCH($B17,[1]選手登録!$A$3:$I$3,))&lt;&gt;"",INDEX([1]選手登録!$A$4:$I$20,MATCH($A$9,[1]選手登録!$A$4:$A$20,),MATCH($B17,[1]選手登録!$A$3:$I$3,)),"")</f>
        <v>#N/A</v>
      </c>
      <c r="H17" s="245" t="s">
        <v>23</v>
      </c>
      <c r="I17" s="606" t="str">
        <f>VLOOKUP(8,'１×Ｍ'!B10:J10,2)</f>
        <v>浜松大平台高校A</v>
      </c>
      <c r="J17" s="606" t="e">
        <f>IF(INDEX([1]選手登録!$A$3:$I$20,MATCH($A$9,[1]選手登録!$A$4:$A$20,),MATCH($B17,[1]選手登録!$A$3:$I$3,))&lt;&gt;"",INDEX([1]選手登録!$A$4:$I$20,MATCH($A$9,[1]選手登録!$A$4:$A$20,),MATCH($B17,[1]選手登録!$A$3:$I$3,)),"")</f>
        <v>#N/A</v>
      </c>
      <c r="K17" s="246" t="s">
        <v>19</v>
      </c>
      <c r="L17" s="606" t="str">
        <f>VLOOKUP(8,'１×Ｍ'!B10:J10,9)</f>
        <v>野田幹太</v>
      </c>
      <c r="M17" s="609" t="e">
        <f>IF(INDEX([1]選手登録!$A$3:$I$20,MATCH($A$9,[1]選手登録!$A$4:$A$20,),MATCH($B17,[1]選手登録!$A$3:$I$3,))&lt;&gt;"",INDEX([1]選手登録!$A$4:$I$20,MATCH($A$9,[1]選手登録!$A$4:$A$20,),MATCH($B17,[1]選手登録!$A$3:$I$3,)),"")</f>
        <v>#N/A</v>
      </c>
    </row>
    <row r="18" spans="1:13" ht="15.75" customHeight="1" x14ac:dyDescent="0.2">
      <c r="A18" s="247" t="s">
        <v>20</v>
      </c>
      <c r="B18" s="236" t="s">
        <v>24</v>
      </c>
      <c r="C18" s="237" t="s">
        <v>25</v>
      </c>
      <c r="D18" s="236" t="s">
        <v>21</v>
      </c>
      <c r="E18" s="238"/>
      <c r="F18" s="239"/>
      <c r="H18" s="247" t="s">
        <v>20</v>
      </c>
      <c r="I18" s="236" t="s">
        <v>24</v>
      </c>
      <c r="J18" s="237" t="s">
        <v>25</v>
      </c>
      <c r="K18" s="236" t="s">
        <v>21</v>
      </c>
      <c r="L18" s="238"/>
      <c r="M18" s="239"/>
    </row>
    <row r="19" spans="1:13" ht="15.75" customHeight="1" thickBot="1" x14ac:dyDescent="0.25">
      <c r="A19" s="248" t="s">
        <v>22</v>
      </c>
      <c r="B19" s="240" t="str">
        <f>VLOOKUP(7,'１×Ｍ'!B9:J9,4)</f>
        <v>ヤクタヨ</v>
      </c>
      <c r="C19" s="241" t="str">
        <f>VLOOKUP(7,'１×Ｍ'!B9:J9,5)</f>
        <v>イサオ</v>
      </c>
      <c r="D19" s="240">
        <f>VLOOKUP(7,'１×Ｍ'!B9:J9,6)</f>
        <v>2</v>
      </c>
      <c r="E19" s="242"/>
      <c r="F19" s="232"/>
      <c r="H19" s="248" t="s">
        <v>22</v>
      </c>
      <c r="I19" s="240" t="str">
        <f>VLOOKUP(8,'１×Ｍ'!B10:J10,4)</f>
        <v>袴田</v>
      </c>
      <c r="J19" s="241" t="str">
        <f>VLOOKUP(8,'１×Ｍ'!B10:J10,5)</f>
        <v>聖人</v>
      </c>
      <c r="K19" s="240">
        <f>VLOOKUP(8,'１×Ｍ'!B10:J10,6)</f>
        <v>2</v>
      </c>
      <c r="L19" s="242"/>
      <c r="M19" s="232"/>
    </row>
    <row r="20" spans="1:13" ht="15.75" customHeight="1" thickBot="1" x14ac:dyDescent="0.25"/>
    <row r="21" spans="1:13" ht="15.75" customHeight="1" thickBot="1" x14ac:dyDescent="0.25">
      <c r="A21" s="245" t="s">
        <v>23</v>
      </c>
      <c r="B21" s="606" t="str">
        <f>VLOOKUP(9,'１×Ｍ'!B11:J11,2)</f>
        <v>浜松大平台高校B</v>
      </c>
      <c r="C21" s="606" t="e">
        <f>IF(INDEX([1]選手登録!$A$3:$I$20,MATCH($A$9,[1]選手登録!$A$4:$A$20,),MATCH($B21,[1]選手登録!$A$3:$I$3,))&lt;&gt;"",INDEX([1]選手登録!$A$4:$I$20,MATCH($A$9,[1]選手登録!$A$4:$A$20,),MATCH($B21,[1]選手登録!$A$3:$I$3,)),"")</f>
        <v>#N/A</v>
      </c>
      <c r="D21" s="246" t="s">
        <v>19</v>
      </c>
      <c r="E21" s="607" t="str">
        <f>VLOOKUP(9,'１×Ｍ'!B11:J11,9)</f>
        <v>野田幹太</v>
      </c>
      <c r="F21" s="608" t="e">
        <f>IF(INDEX([1]選手登録!$A$3:$I$20,MATCH($A$9,[1]選手登録!$A$4:$A$20,),MATCH($B21,[1]選手登録!$A$3:$I$3,))&lt;&gt;"",INDEX([1]選手登録!$A$4:$I$20,MATCH($A$9,[1]選手登録!$A$4:$A$20,),MATCH($B21,[1]選手登録!$A$3:$I$3,)),"")</f>
        <v>#N/A</v>
      </c>
      <c r="H21" s="245" t="s">
        <v>23</v>
      </c>
      <c r="I21" s="606" t="str">
        <f>VLOOKUP(10,'１×Ｍ'!B12:J12,2)</f>
        <v>浜松大平台高校C</v>
      </c>
      <c r="J21" s="606" t="e">
        <f>IF(INDEX([1]選手登録!$A$3:$I$20,MATCH($A$9,[1]選手登録!$A$4:$A$20,),MATCH($B21,[1]選手登録!$A$3:$I$3,))&lt;&gt;"",INDEX([1]選手登録!$A$4:$I$20,MATCH($A$9,[1]選手登録!$A$4:$A$20,),MATCH($B21,[1]選手登録!$A$3:$I$3,)),"")</f>
        <v>#N/A</v>
      </c>
      <c r="K21" s="246" t="s">
        <v>19</v>
      </c>
      <c r="L21" s="607" t="str">
        <f>VLOOKUP(10,'１×Ｍ'!B12:J12,9)</f>
        <v>野田幹太</v>
      </c>
      <c r="M21" s="608" t="e">
        <f>IF(INDEX([1]選手登録!$A$3:$I$20,MATCH($A$9,[1]選手登録!$A$4:$A$20,),MATCH($B21,[1]選手登録!$A$3:$I$3,))&lt;&gt;"",INDEX([1]選手登録!$A$4:$I$20,MATCH($A$9,[1]選手登録!$A$4:$A$20,),MATCH($B21,[1]選手登録!$A$3:$I$3,)),"")</f>
        <v>#N/A</v>
      </c>
    </row>
    <row r="22" spans="1:13" ht="15.75" customHeight="1" x14ac:dyDescent="0.2">
      <c r="A22" s="247" t="s">
        <v>20</v>
      </c>
      <c r="B22" s="236" t="s">
        <v>24</v>
      </c>
      <c r="C22" s="237" t="s">
        <v>25</v>
      </c>
      <c r="D22" s="236" t="s">
        <v>21</v>
      </c>
      <c r="E22" s="238"/>
      <c r="F22" s="239"/>
      <c r="H22" s="247" t="s">
        <v>20</v>
      </c>
      <c r="I22" s="236" t="s">
        <v>24</v>
      </c>
      <c r="J22" s="237" t="s">
        <v>25</v>
      </c>
      <c r="K22" s="236" t="s">
        <v>21</v>
      </c>
      <c r="L22" s="238"/>
      <c r="M22" s="239"/>
    </row>
    <row r="23" spans="1:13" ht="15.75" customHeight="1" thickBot="1" x14ac:dyDescent="0.25">
      <c r="A23" s="248" t="s">
        <v>22</v>
      </c>
      <c r="B23" s="240" t="str">
        <f>VLOOKUP(9,'１×Ｍ'!B11:J11,4)</f>
        <v>佐原</v>
      </c>
      <c r="C23" s="241" t="str">
        <f>VLOOKUP(9,'１×Ｍ'!B11:J11,5)</f>
        <v>宏汰</v>
      </c>
      <c r="D23" s="240">
        <f>VLOOKUP(9,'１×Ｍ'!B11:J11,6)</f>
        <v>2</v>
      </c>
      <c r="E23" s="242"/>
      <c r="F23" s="232"/>
      <c r="H23" s="248" t="s">
        <v>22</v>
      </c>
      <c r="I23" s="240" t="str">
        <f>VLOOKUP(10,'１×Ｍ'!B12:J12,4)</f>
        <v>鈴木</v>
      </c>
      <c r="J23" s="241" t="str">
        <f>VLOOKUP(10,'１×Ｍ'!B12:J12,5)</f>
        <v>辿馬</v>
      </c>
      <c r="K23" s="240">
        <f>VLOOKUP(10,'１×Ｍ'!B12:J12,6)</f>
        <v>3</v>
      </c>
      <c r="L23" s="242"/>
      <c r="M23" s="232"/>
    </row>
    <row r="24" spans="1:13" ht="15.75" customHeight="1" thickBot="1" x14ac:dyDescent="0.25">
      <c r="D24" s="232"/>
      <c r="E24" s="232"/>
      <c r="F24" s="232"/>
    </row>
    <row r="25" spans="1:13" ht="15.75" customHeight="1" thickBot="1" x14ac:dyDescent="0.25">
      <c r="A25" s="245" t="s">
        <v>23</v>
      </c>
      <c r="B25" s="606" t="str">
        <f>VLOOKUP(11,'１×Ｍ'!B13:J13,2)</f>
        <v>浜松大平台高校D</v>
      </c>
      <c r="C25" s="606" t="e">
        <f>IF(INDEX([1]選手登録!$A$3:$I$20,MATCH($A$9,[1]選手登録!$A$4:$A$20,),MATCH($B25,[1]選手登録!$A$3:$I$3,))&lt;&gt;"",INDEX([1]選手登録!$A$4:$I$20,MATCH($A$9,[1]選手登録!$A$4:$A$20,),MATCH($B25,[1]選手登録!$A$3:$I$3,)),"")</f>
        <v>#N/A</v>
      </c>
      <c r="D25" s="246" t="s">
        <v>19</v>
      </c>
      <c r="E25" s="607" t="str">
        <f>VLOOKUP(11,'１×Ｍ'!B13:J13,9)</f>
        <v>野田幹太</v>
      </c>
      <c r="F25" s="608" t="e">
        <f>IF(INDEX([1]選手登録!$A$3:$I$20,MATCH($A$9,[1]選手登録!$A$4:$A$20,),MATCH($B25,[1]選手登録!$A$3:$I$3,))&lt;&gt;"",INDEX([1]選手登録!$A$4:$I$20,MATCH($A$9,[1]選手登録!$A$4:$A$20,),MATCH($B25,[1]選手登録!$A$3:$I$3,)),"")</f>
        <v>#N/A</v>
      </c>
      <c r="H25" s="245" t="s">
        <v>23</v>
      </c>
      <c r="I25" s="606" t="str">
        <f>VLOOKUP(12,'１×Ｍ'!B14:J14,2)</f>
        <v>浜松大平台高校E</v>
      </c>
      <c r="J25" s="606" t="e">
        <f>IF(INDEX([1]選手登録!$A$3:$I$20,MATCH($A$9,[1]選手登録!$A$4:$A$20,),MATCH($B25,[1]選手登録!$A$3:$I$3,))&lt;&gt;"",INDEX([1]選手登録!$A$4:$I$20,MATCH($A$9,[1]選手登録!$A$4:$A$20,),MATCH($B25,[1]選手登録!$A$3:$I$3,)),"")</f>
        <v>#N/A</v>
      </c>
      <c r="K25" s="246" t="s">
        <v>19</v>
      </c>
      <c r="L25" s="607" t="str">
        <f>VLOOKUP(12,'１×Ｍ'!B14:J14,9)</f>
        <v>野田幹太</v>
      </c>
      <c r="M25" s="608" t="e">
        <f>IF(INDEX([1]選手登録!$A$3:$I$20,MATCH($A$9,[1]選手登録!$A$4:$A$20,),MATCH($B25,[1]選手登録!$A$3:$I$3,))&lt;&gt;"",INDEX([1]選手登録!$A$4:$I$20,MATCH($A$9,[1]選手登録!$A$4:$A$20,),MATCH($B25,[1]選手登録!$A$3:$I$3,)),"")</f>
        <v>#N/A</v>
      </c>
    </row>
    <row r="26" spans="1:13" ht="15.75" customHeight="1" x14ac:dyDescent="0.2">
      <c r="A26" s="247" t="s">
        <v>20</v>
      </c>
      <c r="B26" s="236" t="s">
        <v>24</v>
      </c>
      <c r="C26" s="237" t="s">
        <v>25</v>
      </c>
      <c r="D26" s="236" t="s">
        <v>21</v>
      </c>
      <c r="E26" s="238"/>
      <c r="F26" s="239"/>
      <c r="H26" s="247" t="s">
        <v>20</v>
      </c>
      <c r="I26" s="236" t="s">
        <v>24</v>
      </c>
      <c r="J26" s="237" t="s">
        <v>25</v>
      </c>
      <c r="K26" s="236" t="s">
        <v>21</v>
      </c>
      <c r="L26" s="238"/>
      <c r="M26" s="239"/>
    </row>
    <row r="27" spans="1:13" ht="15.75" customHeight="1" thickBot="1" x14ac:dyDescent="0.25">
      <c r="A27" s="248" t="s">
        <v>22</v>
      </c>
      <c r="B27" s="240" t="str">
        <f>VLOOKUP(11,'１×Ｍ'!B13:J13,4)</f>
        <v>鎌田</v>
      </c>
      <c r="C27" s="241" t="str">
        <f>VLOOKUP(11,'１×Ｍ'!B13:J13,5)</f>
        <v>有翔</v>
      </c>
      <c r="D27" s="240">
        <f>VLOOKUP(11,'１×Ｍ'!B13:J13,6)</f>
        <v>3</v>
      </c>
      <c r="E27" s="242"/>
      <c r="F27" s="232"/>
      <c r="H27" s="248" t="s">
        <v>22</v>
      </c>
      <c r="I27" s="240" t="str">
        <f>VLOOKUP(12,'１×Ｍ'!B14:J14,4)</f>
        <v>堀部</v>
      </c>
      <c r="J27" s="241" t="str">
        <f>VLOOKUP(12,'１×Ｍ'!B14:J14,5)</f>
        <v>時羽</v>
      </c>
      <c r="K27" s="240">
        <f>VLOOKUP(12,'１×Ｍ'!B14:J14,6)</f>
        <v>3</v>
      </c>
      <c r="L27" s="242"/>
      <c r="M27" s="232"/>
    </row>
    <row r="28" spans="1:13" ht="15.75" customHeight="1" thickBot="1" x14ac:dyDescent="0.25">
      <c r="D28" s="232"/>
      <c r="E28" s="232"/>
      <c r="F28" s="232"/>
    </row>
    <row r="29" spans="1:13" ht="15.75" customHeight="1" thickBot="1" x14ac:dyDescent="0.25">
      <c r="A29" s="245" t="s">
        <v>23</v>
      </c>
      <c r="B29" s="606" t="str">
        <f>VLOOKUP(13,'１×Ｍ'!B15:J15,2)</f>
        <v>浜松大平台高校F</v>
      </c>
      <c r="C29" s="606" t="e">
        <f>IF(INDEX([1]選手登録!$A$3:$I$20,MATCH($A$9,[1]選手登録!$A$4:$A$20,),MATCH($B29,[1]選手登録!$A$3:$I$3,))&lt;&gt;"",INDEX([1]選手登録!$A$4:$I$20,MATCH($A$9,[1]選手登録!$A$4:$A$20,),MATCH($B29,[1]選手登録!$A$3:$I$3,)),"")</f>
        <v>#N/A</v>
      </c>
      <c r="D29" s="246" t="s">
        <v>19</v>
      </c>
      <c r="E29" s="607" t="str">
        <f>VLOOKUP(13,'１×Ｍ'!B15:J15,9)</f>
        <v>野田幹太</v>
      </c>
      <c r="F29" s="608" t="e">
        <f>IF(INDEX([1]選手登録!$A$3:$I$20,MATCH($A$9,[1]選手登録!$A$4:$A$20,),MATCH($B29,[1]選手登録!$A$3:$I$3,))&lt;&gt;"",INDEX([1]選手登録!$A$4:$I$20,MATCH($A$9,[1]選手登録!$A$4:$A$20,),MATCH($B29,[1]選手登録!$A$3:$I$3,)),"")</f>
        <v>#N/A</v>
      </c>
      <c r="H29" s="245" t="s">
        <v>23</v>
      </c>
      <c r="I29" s="606" t="str">
        <f>VLOOKUP(14,'１×Ｍ'!B16:J16,2)</f>
        <v>浜松湖南高校A</v>
      </c>
      <c r="J29" s="606" t="e">
        <f>IF(INDEX([1]選手登録!$A$3:$I$20,MATCH($A$9,[1]選手登録!$A$4:$A$20,),MATCH($B29,[1]選手登録!$A$3:$I$3,))&lt;&gt;"",INDEX([1]選手登録!$A$4:$I$20,MATCH($A$9,[1]選手登録!$A$4:$A$20,),MATCH($B29,[1]選手登録!$A$3:$I$3,)),"")</f>
        <v>#N/A</v>
      </c>
      <c r="K29" s="246" t="s">
        <v>19</v>
      </c>
      <c r="L29" s="607" t="str">
        <f>VLOOKUP(14,'１×Ｍ'!B16:J16,9)</f>
        <v>山崎武敏</v>
      </c>
      <c r="M29" s="608" t="e">
        <f>IF(INDEX([1]選手登録!$A$3:$I$20,MATCH($A$9,[1]選手登録!$A$4:$A$20,),MATCH($B29,[1]選手登録!$A$3:$I$3,))&lt;&gt;"",INDEX([1]選手登録!$A$4:$I$20,MATCH($A$9,[1]選手登録!$A$4:$A$20,),MATCH($B29,[1]選手登録!$A$3:$I$3,)),"")</f>
        <v>#N/A</v>
      </c>
    </row>
    <row r="30" spans="1:13" ht="15.75" customHeight="1" x14ac:dyDescent="0.2">
      <c r="A30" s="247" t="s">
        <v>20</v>
      </c>
      <c r="B30" s="236" t="s">
        <v>24</v>
      </c>
      <c r="C30" s="237" t="s">
        <v>25</v>
      </c>
      <c r="D30" s="236" t="s">
        <v>21</v>
      </c>
      <c r="E30" s="238"/>
      <c r="F30" s="239"/>
      <c r="H30" s="247" t="s">
        <v>20</v>
      </c>
      <c r="I30" s="236" t="s">
        <v>24</v>
      </c>
      <c r="J30" s="237" t="s">
        <v>25</v>
      </c>
      <c r="K30" s="236" t="s">
        <v>21</v>
      </c>
      <c r="L30" s="238"/>
      <c r="M30" s="239"/>
    </row>
    <row r="31" spans="1:13" ht="15.75" customHeight="1" thickBot="1" x14ac:dyDescent="0.25">
      <c r="A31" s="248" t="s">
        <v>22</v>
      </c>
      <c r="B31" s="240" t="str">
        <f>VLOOKUP(13,'１×Ｍ'!B15:J15,4)</f>
        <v>松元</v>
      </c>
      <c r="C31" s="241" t="str">
        <f>VLOOKUP(13,'１×Ｍ'!B15:J15,5)</f>
        <v>慧太朗</v>
      </c>
      <c r="D31" s="240">
        <f>VLOOKUP(13,'１×Ｍ'!B15:J15,6)</f>
        <v>3</v>
      </c>
      <c r="E31" s="242"/>
      <c r="F31" s="232"/>
      <c r="H31" s="248" t="s">
        <v>22</v>
      </c>
      <c r="I31" s="240" t="str">
        <f>VLOOKUP(14,'１×Ｍ'!B16:J16,4)</f>
        <v>渥美</v>
      </c>
      <c r="J31" s="241" t="str">
        <f>VLOOKUP(14,'１×Ｍ'!B16:J16,5)</f>
        <v>智也</v>
      </c>
      <c r="K31" s="240">
        <f>VLOOKUP(14,'１×Ｍ'!B16:J16,6)</f>
        <v>3</v>
      </c>
      <c r="L31" s="242"/>
      <c r="M31" s="232"/>
    </row>
    <row r="32" spans="1:13" ht="15.75" customHeight="1" thickBot="1" x14ac:dyDescent="0.25"/>
    <row r="33" spans="1:13" ht="15.75" customHeight="1" thickBot="1" x14ac:dyDescent="0.25">
      <c r="A33" s="245" t="s">
        <v>23</v>
      </c>
      <c r="B33" s="606" t="str">
        <f>VLOOKUP(15,'１×Ｍ'!B17:J17,2)</f>
        <v>浜松湖南高校B</v>
      </c>
      <c r="C33" s="606" t="e">
        <f>IF(INDEX([1]選手登録!$A$3:$I$20,MATCH($A$9,[1]選手登録!$A$4:$A$20,),MATCH($B33,[1]選手登録!$A$3:$I$3,))&lt;&gt;"",INDEX([1]選手登録!$A$4:$I$20,MATCH($A$9,[1]選手登録!$A$4:$A$20,),MATCH($B33,[1]選手登録!$A$3:$I$3,)),"")</f>
        <v>#N/A</v>
      </c>
      <c r="D33" s="246" t="s">
        <v>19</v>
      </c>
      <c r="E33" s="607" t="str">
        <f>VLOOKUP(15,'１×Ｍ'!B17:J17,9)</f>
        <v>山崎武敏</v>
      </c>
      <c r="F33" s="608" t="e">
        <f>IF(INDEX([1]選手登録!$A$3:$I$20,MATCH($A$9,[1]選手登録!$A$4:$A$20,),MATCH($B33,[1]選手登録!$A$3:$I$3,))&lt;&gt;"",INDEX([1]選手登録!$A$4:$I$20,MATCH($A$9,[1]選手登録!$A$4:$A$20,),MATCH($B33,[1]選手登録!$A$3:$I$3,)),"")</f>
        <v>#N/A</v>
      </c>
      <c r="H33" s="245" t="s">
        <v>23</v>
      </c>
      <c r="I33" s="606" t="str">
        <f>VLOOKUP(16,'１×Ｍ'!B18:J18,2)</f>
        <v>浜松湖南高校C</v>
      </c>
      <c r="J33" s="606" t="e">
        <f>IF(INDEX([1]選手登録!$A$3:$I$20,MATCH($A$9,[1]選手登録!$A$4:$A$20,),MATCH($B33,[1]選手登録!$A$3:$I$3,))&lt;&gt;"",INDEX([1]選手登録!$A$4:$I$20,MATCH($A$9,[1]選手登録!$A$4:$A$20,),MATCH($B33,[1]選手登録!$A$3:$I$3,)),"")</f>
        <v>#N/A</v>
      </c>
      <c r="K33" s="246" t="s">
        <v>19</v>
      </c>
      <c r="L33" s="607" t="str">
        <f>VLOOKUP(16,'１×Ｍ'!B18:J18,9)</f>
        <v>山崎武敏</v>
      </c>
      <c r="M33" s="608" t="e">
        <f>IF(INDEX([1]選手登録!$A$3:$I$20,MATCH($A$9,[1]選手登録!$A$4:$A$20,),MATCH($B33,[1]選手登録!$A$3:$I$3,))&lt;&gt;"",INDEX([1]選手登録!$A$4:$I$20,MATCH($A$9,[1]選手登録!$A$4:$A$20,),MATCH($B33,[1]選手登録!$A$3:$I$3,)),"")</f>
        <v>#N/A</v>
      </c>
    </row>
    <row r="34" spans="1:13" ht="15.75" customHeight="1" x14ac:dyDescent="0.2">
      <c r="A34" s="247" t="s">
        <v>20</v>
      </c>
      <c r="B34" s="236" t="s">
        <v>24</v>
      </c>
      <c r="C34" s="237" t="s">
        <v>25</v>
      </c>
      <c r="D34" s="236" t="s">
        <v>21</v>
      </c>
      <c r="E34" s="238"/>
      <c r="F34" s="239"/>
      <c r="H34" s="247" t="s">
        <v>20</v>
      </c>
      <c r="I34" s="236" t="s">
        <v>24</v>
      </c>
      <c r="J34" s="237" t="s">
        <v>25</v>
      </c>
      <c r="K34" s="236" t="s">
        <v>21</v>
      </c>
      <c r="L34" s="238"/>
      <c r="M34" s="239"/>
    </row>
    <row r="35" spans="1:13" ht="15.75" customHeight="1" thickBot="1" x14ac:dyDescent="0.25">
      <c r="A35" s="248" t="s">
        <v>22</v>
      </c>
      <c r="B35" s="240" t="str">
        <f>VLOOKUP(15,'１×Ｍ'!B17:J17,4)</f>
        <v>蓑部</v>
      </c>
      <c r="C35" s="241" t="str">
        <f>VLOOKUP(15,'１×Ｍ'!B17:J17,5)</f>
        <v>匠之介</v>
      </c>
      <c r="D35" s="240">
        <f>VLOOKUP(15,'１×Ｍ'!B17:J17,6)</f>
        <v>3</v>
      </c>
      <c r="E35" s="242"/>
      <c r="F35" s="232"/>
      <c r="H35" s="248" t="s">
        <v>22</v>
      </c>
      <c r="I35" s="240" t="str">
        <f>VLOOKUP(16,'１×Ｍ'!B18:J18,4)</f>
        <v>米澤</v>
      </c>
      <c r="J35" s="241" t="str">
        <f>VLOOKUP(16,'１×Ｍ'!B18:J18,5)</f>
        <v>涼斗</v>
      </c>
      <c r="K35" s="240">
        <f>VLOOKUP(16,'１×Ｍ'!B18:J18,6)</f>
        <v>3</v>
      </c>
      <c r="L35" s="242"/>
      <c r="M35" s="232"/>
    </row>
    <row r="36" spans="1:13" ht="15.75" customHeight="1" thickBot="1" x14ac:dyDescent="0.25"/>
    <row r="37" spans="1:13" ht="15.75" customHeight="1" thickBot="1" x14ac:dyDescent="0.25">
      <c r="A37" s="245" t="s">
        <v>23</v>
      </c>
      <c r="B37" s="606" t="str">
        <f>VLOOKUP(17,'１×Ｍ'!B19:J19,2)</f>
        <v>浜松湖南高校D</v>
      </c>
      <c r="C37" s="606" t="e">
        <f>IF(INDEX([1]選手登録!$A$3:$I$20,MATCH($A$9,[1]選手登録!$A$4:$A$20,),MATCH($B37,[1]選手登録!$A$3:$I$3,))&lt;&gt;"",INDEX([1]選手登録!$A$4:$I$20,MATCH($A$9,[1]選手登録!$A$4:$A$20,),MATCH($B37,[1]選手登録!$A$3:$I$3,)),"")</f>
        <v>#N/A</v>
      </c>
      <c r="D37" s="246" t="s">
        <v>19</v>
      </c>
      <c r="E37" s="607" t="str">
        <f>VLOOKUP(17,'１×Ｍ'!B19:J19,9)</f>
        <v>山崎武敏</v>
      </c>
      <c r="F37" s="608" t="e">
        <f>IF(INDEX([1]選手登録!$A$3:$I$20,MATCH($A$9,[1]選手登録!$A$4:$A$20,),MATCH($B37,[1]選手登録!$A$3:$I$3,))&lt;&gt;"",INDEX([1]選手登録!$A$4:$I$20,MATCH($A$9,[1]選手登録!$A$4:$A$20,),MATCH($B37,[1]選手登録!$A$3:$I$3,)),"")</f>
        <v>#N/A</v>
      </c>
      <c r="H37" s="245" t="s">
        <v>23</v>
      </c>
      <c r="I37" s="606" t="str">
        <f>VLOOKUP(18,'１×Ｍ'!B20:J20,2)</f>
        <v>浜松湖南高校E</v>
      </c>
      <c r="J37" s="606" t="e">
        <f>IF(INDEX([1]選手登録!$A$3:$I$20,MATCH($A$9,[1]選手登録!$A$4:$A$20,),MATCH($B37,[1]選手登録!$A$3:$I$3,))&lt;&gt;"",INDEX([1]選手登録!$A$4:$I$20,MATCH($A$9,[1]選手登録!$A$4:$A$20,),MATCH($B37,[1]選手登録!$A$3:$I$3,)),"")</f>
        <v>#N/A</v>
      </c>
      <c r="K37" s="246" t="s">
        <v>19</v>
      </c>
      <c r="L37" s="607" t="str">
        <f>VLOOKUP(18,'１×Ｍ'!B20:J20,9)</f>
        <v>山崎武敏</v>
      </c>
      <c r="M37" s="608" t="e">
        <f>IF(INDEX([1]選手登録!$A$3:$I$20,MATCH($A$9,[1]選手登録!$A$4:$A$20,),MATCH($B37,[1]選手登録!$A$3:$I$3,))&lt;&gt;"",INDEX([1]選手登録!$A$4:$I$20,MATCH($A$9,[1]選手登録!$A$4:$A$20,),MATCH($B37,[1]選手登録!$A$3:$I$3,)),"")</f>
        <v>#N/A</v>
      </c>
    </row>
    <row r="38" spans="1:13" ht="15.75" customHeight="1" x14ac:dyDescent="0.2">
      <c r="A38" s="247" t="s">
        <v>20</v>
      </c>
      <c r="B38" s="236" t="s">
        <v>24</v>
      </c>
      <c r="C38" s="237" t="s">
        <v>25</v>
      </c>
      <c r="D38" s="236" t="s">
        <v>21</v>
      </c>
      <c r="E38" s="238"/>
      <c r="F38" s="239"/>
      <c r="H38" s="247" t="s">
        <v>20</v>
      </c>
      <c r="I38" s="236" t="s">
        <v>24</v>
      </c>
      <c r="J38" s="237" t="s">
        <v>25</v>
      </c>
      <c r="K38" s="236" t="s">
        <v>21</v>
      </c>
      <c r="L38" s="238"/>
      <c r="M38" s="239"/>
    </row>
    <row r="39" spans="1:13" ht="15.75" customHeight="1" thickBot="1" x14ac:dyDescent="0.25">
      <c r="A39" s="248" t="s">
        <v>22</v>
      </c>
      <c r="B39" s="240" t="str">
        <f>VLOOKUP(17,'１×Ｍ'!B19:J19,4)</f>
        <v>内藤</v>
      </c>
      <c r="C39" s="241" t="str">
        <f>VLOOKUP(17,'１×Ｍ'!B19:J19,5)</f>
        <v>洋平</v>
      </c>
      <c r="D39" s="240">
        <f>VLOOKUP(17,'１×Ｍ'!B19:J19,6)</f>
        <v>3</v>
      </c>
      <c r="E39" s="242"/>
      <c r="F39" s="232"/>
      <c r="H39" s="248" t="s">
        <v>22</v>
      </c>
      <c r="I39" s="240" t="str">
        <f>VLOOKUP(18,'１×Ｍ'!B20:J20,4)</f>
        <v>近藤</v>
      </c>
      <c r="J39" s="241" t="str">
        <f>VLOOKUP(18,'１×Ｍ'!B20:J20,5)</f>
        <v>碧波</v>
      </c>
      <c r="K39" s="240">
        <f>VLOOKUP(18,'１×Ｍ'!B20:J20,6)</f>
        <v>2</v>
      </c>
      <c r="L39" s="242"/>
      <c r="M39" s="232"/>
    </row>
    <row r="40" spans="1:13" ht="15.75" customHeight="1" thickBot="1" x14ac:dyDescent="0.25"/>
    <row r="41" spans="1:13" ht="15.75" customHeight="1" thickBot="1" x14ac:dyDescent="0.25">
      <c r="A41" s="245" t="s">
        <v>23</v>
      </c>
      <c r="B41" s="606" t="str">
        <f>VLOOKUP(19,'１×Ｍ'!B21:J21,2)</f>
        <v>浜松湖南高校F</v>
      </c>
      <c r="C41" s="606" t="e">
        <f>IF(INDEX([1]選手登録!$A$3:$I$20,MATCH($A$9,[1]選手登録!$A$4:$A$20,),MATCH($B41,[1]選手登録!$A$3:$I$3,))&lt;&gt;"",INDEX([1]選手登録!$A$4:$I$20,MATCH($A$9,[1]選手登録!$A$4:$A$20,),MATCH($B41,[1]選手登録!$A$3:$I$3,)),"")</f>
        <v>#N/A</v>
      </c>
      <c r="D41" s="246" t="s">
        <v>19</v>
      </c>
      <c r="E41" s="607" t="str">
        <f>VLOOKUP(19,'１×Ｍ'!B21:J21,9)</f>
        <v>山崎武敏</v>
      </c>
      <c r="F41" s="608" t="e">
        <f>IF(INDEX([1]選手登録!$A$3:$I$20,MATCH($A$9,[1]選手登録!$A$4:$A$20,),MATCH($B41,[1]選手登録!$A$3:$I$3,))&lt;&gt;"",INDEX([1]選手登録!$A$4:$I$20,MATCH($A$9,[1]選手登録!$A$4:$A$20,),MATCH($B41,[1]選手登録!$A$3:$I$3,)),"")</f>
        <v>#N/A</v>
      </c>
      <c r="H41" s="245" t="s">
        <v>23</v>
      </c>
      <c r="I41" s="606" t="str">
        <f>VLOOKUP(20,'１×Ｍ'!B22:J22,2)</f>
        <v>浜松湖南高校G</v>
      </c>
      <c r="J41" s="606" t="e">
        <f>IF(INDEX([1]選手登録!$A$3:$I$20,MATCH($A$9,[1]選手登録!$A$4:$A$20,),MATCH($B41,[1]選手登録!$A$3:$I$3,))&lt;&gt;"",INDEX([1]選手登録!$A$4:$I$20,MATCH($A$9,[1]選手登録!$A$4:$A$20,),MATCH($B41,[1]選手登録!$A$3:$I$3,)),"")</f>
        <v>#N/A</v>
      </c>
      <c r="K41" s="246" t="s">
        <v>19</v>
      </c>
      <c r="L41" s="607" t="str">
        <f>VLOOKUP(20,'１×Ｍ'!B22:J22,9)</f>
        <v>山崎武敏</v>
      </c>
      <c r="M41" s="608" t="e">
        <f>IF(INDEX([1]選手登録!$A$3:$I$20,MATCH($A$9,[1]選手登録!$A$4:$A$20,),MATCH($B41,[1]選手登録!$A$3:$I$3,))&lt;&gt;"",INDEX([1]選手登録!$A$4:$I$20,MATCH($A$9,[1]選手登録!$A$4:$A$20,),MATCH($B41,[1]選手登録!$A$3:$I$3,)),"")</f>
        <v>#N/A</v>
      </c>
    </row>
    <row r="42" spans="1:13" ht="15.75" customHeight="1" x14ac:dyDescent="0.2">
      <c r="A42" s="247" t="s">
        <v>20</v>
      </c>
      <c r="B42" s="236" t="s">
        <v>24</v>
      </c>
      <c r="C42" s="237" t="s">
        <v>25</v>
      </c>
      <c r="D42" s="236" t="s">
        <v>21</v>
      </c>
      <c r="E42" s="238"/>
      <c r="F42" s="239"/>
      <c r="H42" s="247" t="s">
        <v>20</v>
      </c>
      <c r="I42" s="236" t="s">
        <v>24</v>
      </c>
      <c r="J42" s="237" t="s">
        <v>25</v>
      </c>
      <c r="K42" s="236" t="s">
        <v>21</v>
      </c>
      <c r="L42" s="238"/>
      <c r="M42" s="239"/>
    </row>
    <row r="43" spans="1:13" ht="15.75" customHeight="1" thickBot="1" x14ac:dyDescent="0.25">
      <c r="A43" s="248" t="s">
        <v>22</v>
      </c>
      <c r="B43" s="240" t="str">
        <f>VLOOKUP(19,'１×Ｍ'!B2:J22,4)</f>
        <v>影原</v>
      </c>
      <c r="C43" s="241" t="str">
        <f>VLOOKUP(19,'１×Ｍ'!B21:J21,5)</f>
        <v>歩</v>
      </c>
      <c r="D43" s="240">
        <f>VLOOKUP(19,'１×Ｍ'!B21:J21,6)</f>
        <v>2</v>
      </c>
      <c r="E43" s="242"/>
      <c r="F43" s="232"/>
      <c r="H43" s="248" t="s">
        <v>22</v>
      </c>
      <c r="I43" s="240" t="str">
        <f>VLOOKUP(20,'１×Ｍ'!B22:J22,4)</f>
        <v>高須</v>
      </c>
      <c r="J43" s="241" t="str">
        <f>VLOOKUP(20,'１×Ｍ'!B22:J22,5)</f>
        <v>丈瑠</v>
      </c>
      <c r="K43" s="240">
        <f>VLOOKUP(20,'１×Ｍ'!B22:J22,6)</f>
        <v>2</v>
      </c>
      <c r="L43" s="242"/>
      <c r="M43" s="232"/>
    </row>
    <row r="44" spans="1:13" ht="15.75" customHeight="1" thickBot="1" x14ac:dyDescent="0.25">
      <c r="D44" s="232"/>
      <c r="E44" s="232"/>
      <c r="F44" s="232"/>
    </row>
    <row r="45" spans="1:13" ht="15.75" customHeight="1" thickBot="1" x14ac:dyDescent="0.25">
      <c r="A45" s="245" t="s">
        <v>366</v>
      </c>
      <c r="B45" s="606" t="str">
        <f>VLOOKUP(21,'１×Ｍ'!B23:J23,2)</f>
        <v>浜松湖南高校H</v>
      </c>
      <c r="C45" s="606" t="e">
        <f>IF(INDEX([1]選手登録!$A$3:$I$20,MATCH($A$9,[1]選手登録!$A$4:$A$20,),MATCH($B45,[1]選手登録!$A$3:$I$3,))&lt;&gt;"",INDEX([1]選手登録!$A$4:$I$20,MATCH($A$9,[1]選手登録!$A$4:$A$20,),MATCH($B45,[1]選手登録!$A$3:$I$3,)),"")</f>
        <v>#N/A</v>
      </c>
      <c r="D45" s="246" t="s">
        <v>19</v>
      </c>
      <c r="E45" s="607" t="str">
        <f>VLOOKUP(21,'１×Ｍ'!B23:J23,9)</f>
        <v>山崎武敏</v>
      </c>
      <c r="F45" s="608" t="e">
        <f>IF(INDEX([1]選手登録!$A$3:$I$20,MATCH($A$9,[1]選手登録!$A$4:$A$20,),MATCH($B45,[1]選手登録!$A$3:$I$3,))&lt;&gt;"",INDEX([1]選手登録!$A$4:$I$20,MATCH($A$9,[1]選手登録!$A$4:$A$20,),MATCH($B45,[1]選手登録!$A$3:$I$3,)),"")</f>
        <v>#N/A</v>
      </c>
      <c r="H45" s="245" t="s">
        <v>366</v>
      </c>
      <c r="I45" s="606" t="str">
        <f>VLOOKUP(22,'１×Ｍ'!B24:J24,2)</f>
        <v>天竜高校A</v>
      </c>
      <c r="J45" s="606" t="e">
        <f>IF(INDEX([1]選手登録!$A$3:$I$20,MATCH($A$9,[1]選手登録!$A$4:$A$20,),MATCH($B45,[1]選手登録!$A$3:$I$3,))&lt;&gt;"",INDEX([1]選手登録!$A$4:$I$20,MATCH($A$9,[1]選手登録!$A$4:$A$20,),MATCH($B45,[1]選手登録!$A$3:$I$3,)),"")</f>
        <v>#N/A</v>
      </c>
      <c r="K45" s="246" t="s">
        <v>19</v>
      </c>
      <c r="L45" s="607" t="str">
        <f>VLOOKUP(22,'１×Ｍ'!B24:J24,9)</f>
        <v>金原遼</v>
      </c>
      <c r="M45" s="608" t="e">
        <f>IF(INDEX([1]選手登録!$A$3:$I$20,MATCH($A$9,[1]選手登録!$A$4:$A$20,),MATCH($B45,[1]選手登録!$A$3:$I$3,))&lt;&gt;"",INDEX([1]選手登録!$A$4:$I$20,MATCH($A$9,[1]選手登録!$A$4:$A$20,),MATCH($B45,[1]選手登録!$A$3:$I$3,)),"")</f>
        <v>#N/A</v>
      </c>
    </row>
    <row r="46" spans="1:13" s="243" customFormat="1" ht="15.75" customHeight="1" x14ac:dyDescent="0.2">
      <c r="A46" s="247" t="s">
        <v>20</v>
      </c>
      <c r="B46" s="236" t="s">
        <v>24</v>
      </c>
      <c r="C46" s="237" t="s">
        <v>25</v>
      </c>
      <c r="D46" s="236" t="s">
        <v>21</v>
      </c>
      <c r="E46" s="238"/>
      <c r="F46" s="239"/>
      <c r="G46" s="231"/>
      <c r="H46" s="247" t="s">
        <v>20</v>
      </c>
      <c r="I46" s="236" t="s">
        <v>24</v>
      </c>
      <c r="J46" s="237" t="s">
        <v>25</v>
      </c>
      <c r="K46" s="236" t="s">
        <v>21</v>
      </c>
      <c r="L46" s="238"/>
      <c r="M46" s="239"/>
    </row>
    <row r="47" spans="1:13" ht="15.75" customHeight="1" thickBot="1" x14ac:dyDescent="0.25">
      <c r="A47" s="248" t="s">
        <v>22</v>
      </c>
      <c r="B47" s="240" t="str">
        <f>VLOOKUP(21,'１×Ｍ'!B23:J23,4)</f>
        <v>青島</v>
      </c>
      <c r="C47" s="241" t="str">
        <f>VLOOKUP(21,'１×Ｍ'!B23:J23,5)</f>
        <v>皐達</v>
      </c>
      <c r="D47" s="240">
        <f>VLOOKUP(21,'１×Ｍ'!B23:J23,6)</f>
        <v>2</v>
      </c>
      <c r="E47" s="242"/>
      <c r="F47" s="232"/>
      <c r="H47" s="248" t="s">
        <v>22</v>
      </c>
      <c r="I47" s="240" t="str">
        <f>VLOOKUP(22,'１×Ｍ'!B24:J24,4)</f>
        <v>大橋</v>
      </c>
      <c r="J47" s="241" t="str">
        <f>VLOOKUP(22,'１×Ｍ'!B24:J45,5)</f>
        <v>泰斗</v>
      </c>
      <c r="K47" s="240">
        <f>VLOOKUP(22,'１×Ｍ'!B24:J24,6)</f>
        <v>3</v>
      </c>
      <c r="L47" s="242"/>
      <c r="M47" s="232"/>
    </row>
    <row r="48" spans="1:13" ht="15.75" customHeight="1" thickBot="1" x14ac:dyDescent="0.25">
      <c r="A48" s="232"/>
      <c r="B48" s="232"/>
      <c r="D48" s="232"/>
      <c r="E48" s="232"/>
      <c r="F48" s="232"/>
      <c r="H48" s="232"/>
      <c r="I48" s="232"/>
      <c r="K48" s="232"/>
      <c r="L48" s="232"/>
      <c r="M48" s="232"/>
    </row>
    <row r="49" spans="1:13" ht="15.75" customHeight="1" thickBot="1" x14ac:dyDescent="0.25">
      <c r="A49" s="245" t="s">
        <v>23</v>
      </c>
      <c r="B49" s="606" t="str">
        <f>VLOOKUP(23,'１×Ｍ'!B25:J25,2)</f>
        <v>天竜高校B</v>
      </c>
      <c r="C49" s="606" t="e">
        <f>IF(INDEX([1]選手登録!$A$3:$I$20,MATCH($A$9,[1]選手登録!$A$4:$A$20,),MATCH($B49,[1]選手登録!$A$3:$I$3,))&lt;&gt;"",INDEX([1]選手登録!$A$4:$I$20,MATCH($A$9,[1]選手登録!$A$4:$A$20,),MATCH($B49,[1]選手登録!$A$3:$I$3,)),"")</f>
        <v>#N/A</v>
      </c>
      <c r="D49" s="246" t="s">
        <v>19</v>
      </c>
      <c r="E49" s="607" t="str">
        <f>VLOOKUP(23,'１×Ｍ'!B25:J25,9)</f>
        <v>金原遼</v>
      </c>
      <c r="F49" s="608" t="e">
        <f>IF(INDEX([1]選手登録!$A$3:$I$20,MATCH($A$9,[1]選手登録!$A$4:$A$20,),MATCH($B49,[1]選手登録!$A$3:$I$3,))&lt;&gt;"",INDEX([1]選手登録!$A$4:$I$20,MATCH($A$9,[1]選手登録!$A$4:$A$20,),MATCH($B49,[1]選手登録!$A$3:$I$3,)),"")</f>
        <v>#N/A</v>
      </c>
      <c r="H49" s="245" t="s">
        <v>23</v>
      </c>
      <c r="I49" s="606" t="str">
        <f>VLOOKUP(24,'１×Ｍ'!B26:J26,2)</f>
        <v>天竜高校C</v>
      </c>
      <c r="J49" s="606" t="e">
        <f>IF(INDEX([1]選手登録!$A$3:$I$20,MATCH($A$9,[1]選手登録!$A$4:$A$20,),MATCH($B49,[1]選手登録!$A$3:$I$3,))&lt;&gt;"",INDEX([1]選手登録!$A$4:$I$20,MATCH($A$9,[1]選手登録!$A$4:$A$20,),MATCH($B49,[1]選手登録!$A$3:$I$3,)),"")</f>
        <v>#N/A</v>
      </c>
      <c r="K49" s="246" t="s">
        <v>19</v>
      </c>
      <c r="L49" s="607" t="str">
        <f>VLOOKUP(24,'１×Ｍ'!B26:J26,9)</f>
        <v>金原遼</v>
      </c>
      <c r="M49" s="608" t="e">
        <f>IF(INDEX([1]選手登録!$A$3:$I$20,MATCH($A$9,[1]選手登録!$A$4:$A$20,),MATCH($B49,[1]選手登録!$A$3:$I$3,))&lt;&gt;"",INDEX([1]選手登録!$A$4:$I$20,MATCH($A$9,[1]選手登録!$A$4:$A$20,),MATCH($B49,[1]選手登録!$A$3:$I$3,)),"")</f>
        <v>#N/A</v>
      </c>
    </row>
    <row r="50" spans="1:13" ht="15.75" customHeight="1" x14ac:dyDescent="0.2">
      <c r="A50" s="247" t="s">
        <v>20</v>
      </c>
      <c r="B50" s="236" t="s">
        <v>24</v>
      </c>
      <c r="C50" s="237" t="s">
        <v>25</v>
      </c>
      <c r="D50" s="236" t="s">
        <v>21</v>
      </c>
      <c r="E50" s="238"/>
      <c r="F50" s="239"/>
      <c r="H50" s="247" t="s">
        <v>20</v>
      </c>
      <c r="I50" s="236" t="s">
        <v>24</v>
      </c>
      <c r="J50" s="237" t="s">
        <v>25</v>
      </c>
      <c r="K50" s="236" t="s">
        <v>21</v>
      </c>
      <c r="L50" s="238"/>
      <c r="M50" s="239"/>
    </row>
    <row r="51" spans="1:13" ht="15.75" customHeight="1" thickBot="1" x14ac:dyDescent="0.25">
      <c r="A51" s="248" t="s">
        <v>22</v>
      </c>
      <c r="B51" s="240" t="str">
        <f>VLOOKUP(23,'１×Ｍ'!B25:J25,4)</f>
        <v>清水</v>
      </c>
      <c r="C51" s="241" t="str">
        <f>VLOOKUP(23,'１×Ｍ'!B25:J25,5)</f>
        <v>颯真</v>
      </c>
      <c r="D51" s="240">
        <f>VLOOKUP(23,'１×Ｍ'!B25:J25,6)</f>
        <v>3</v>
      </c>
      <c r="E51" s="242"/>
      <c r="F51" s="232"/>
      <c r="H51" s="248" t="s">
        <v>22</v>
      </c>
      <c r="I51" s="240" t="str">
        <f>VLOOKUP(24,'１×Ｍ'!B26:J26,4)</f>
        <v>岡野</v>
      </c>
      <c r="J51" s="241" t="str">
        <f>VLOOKUP(24,'１×Ｍ'!B26:J26,5)</f>
        <v>望斗</v>
      </c>
      <c r="K51" s="240">
        <f>VLOOKUP(24,'１×Ｍ'!B26:J26,6)</f>
        <v>3</v>
      </c>
      <c r="L51" s="242"/>
      <c r="M51" s="232"/>
    </row>
    <row r="52" spans="1:13" ht="15.75" customHeight="1" thickBot="1" x14ac:dyDescent="0.25"/>
    <row r="53" spans="1:13" ht="15.75" customHeight="1" thickBot="1" x14ac:dyDescent="0.25">
      <c r="A53" s="245" t="s">
        <v>23</v>
      </c>
      <c r="B53" s="606" t="str">
        <f>VLOOKUP(25,'１×Ｍ'!B27:J27,2)</f>
        <v>天竜高校D</v>
      </c>
      <c r="C53" s="606" t="e">
        <f>IF(INDEX([1]選手登録!$A$3:$I$20,MATCH($A$9,[1]選手登録!$A$4:$A$20,),MATCH($B53,[1]選手登録!$A$3:$I$3,))&lt;&gt;"",INDEX([1]選手登録!$A$4:$I$20,MATCH($A$9,[1]選手登録!$A$4:$A$20,),MATCH($B53,[1]選手登録!$A$3:$I$3,)),"")</f>
        <v>#N/A</v>
      </c>
      <c r="D53" s="246" t="s">
        <v>19</v>
      </c>
      <c r="E53" s="607" t="str">
        <f>VLOOKUP(25,'１×Ｍ'!B27:J27,9)</f>
        <v>金原遼</v>
      </c>
      <c r="F53" s="608" t="e">
        <f>IF(INDEX([1]選手登録!$A$3:$I$20,MATCH($A$9,[1]選手登録!$A$4:$A$20,),MATCH($B53,[1]選手登録!$A$3:$I$3,))&lt;&gt;"",INDEX([1]選手登録!$A$4:$I$20,MATCH($A$9,[1]選手登録!$A$4:$A$20,),MATCH($B53,[1]選手登録!$A$3:$I$3,)),"")</f>
        <v>#N/A</v>
      </c>
      <c r="H53" s="245" t="s">
        <v>23</v>
      </c>
      <c r="I53" s="606" t="str">
        <f>VLOOKUP(26,'１×Ｍ'!B28:J28,2)</f>
        <v>天竜高校E</v>
      </c>
      <c r="J53" s="606" t="e">
        <f>IF(INDEX([1]選手登録!$A$3:$I$20,MATCH($A$9,[1]選手登録!$A$4:$A$20,),MATCH($B53,[1]選手登録!$A$3:$I$3,))&lt;&gt;"",INDEX([1]選手登録!$A$4:$I$20,MATCH($A$9,[1]選手登録!$A$4:$A$20,),MATCH($B53,[1]選手登録!$A$3:$I$3,)),"")</f>
        <v>#N/A</v>
      </c>
      <c r="K53" s="246" t="s">
        <v>19</v>
      </c>
      <c r="L53" s="607" t="str">
        <f>VLOOKUP(26,'１×Ｍ'!B28:J28,9)</f>
        <v>金原遼</v>
      </c>
      <c r="M53" s="608" t="e">
        <f>IF(INDEX([1]選手登録!$A$3:$I$20,MATCH($A$9,[1]選手登録!$A$4:$A$20,),MATCH($B53,[1]選手登録!$A$3:$I$3,))&lt;&gt;"",INDEX([1]選手登録!$A$4:$I$20,MATCH($A$9,[1]選手登録!$A$4:$A$20,),MATCH($B53,[1]選手登録!$A$3:$I$3,)),"")</f>
        <v>#N/A</v>
      </c>
    </row>
    <row r="54" spans="1:13" ht="15.75" customHeight="1" x14ac:dyDescent="0.2">
      <c r="A54" s="247" t="s">
        <v>20</v>
      </c>
      <c r="B54" s="236" t="s">
        <v>24</v>
      </c>
      <c r="C54" s="237" t="s">
        <v>25</v>
      </c>
      <c r="D54" s="236" t="s">
        <v>21</v>
      </c>
      <c r="E54" s="238"/>
      <c r="F54" s="239"/>
      <c r="H54" s="247" t="s">
        <v>20</v>
      </c>
      <c r="I54" s="236" t="s">
        <v>24</v>
      </c>
      <c r="J54" s="237" t="s">
        <v>25</v>
      </c>
      <c r="K54" s="236" t="s">
        <v>21</v>
      </c>
      <c r="L54" s="238"/>
      <c r="M54" s="239"/>
    </row>
    <row r="55" spans="1:13" ht="13.5" thickBot="1" x14ac:dyDescent="0.25">
      <c r="A55" s="248" t="s">
        <v>22</v>
      </c>
      <c r="B55" s="240" t="str">
        <f>VLOOKUP(25,'１×Ｍ'!B27:J27,4)</f>
        <v>河合</v>
      </c>
      <c r="C55" s="241" t="str">
        <f>VLOOKUP(25,'１×Ｍ'!B27:J27,5)</f>
        <v>翔太</v>
      </c>
      <c r="D55" s="240">
        <f>VLOOKUP(25,'１×Ｍ'!B27:J27,6)</f>
        <v>2</v>
      </c>
      <c r="E55" s="242"/>
      <c r="F55" s="232"/>
      <c r="H55" s="248" t="s">
        <v>22</v>
      </c>
      <c r="I55" s="240" t="str">
        <f>VLOOKUP(26,'１×Ｍ'!B28:J28,4)</f>
        <v>青嶋</v>
      </c>
      <c r="J55" s="241" t="str">
        <f>VLOOKUP(26,'１×Ｍ'!B28:J28,5)</f>
        <v>拓海</v>
      </c>
      <c r="K55" s="240">
        <f>VLOOKUP(26,'１×Ｍ'!B28:J28,6)</f>
        <v>3</v>
      </c>
      <c r="L55" s="242"/>
      <c r="M55" s="232"/>
    </row>
    <row r="56" spans="1:13" ht="13.5" thickBot="1" x14ac:dyDescent="0.25"/>
    <row r="57" spans="1:13" ht="13.5" thickBot="1" x14ac:dyDescent="0.25">
      <c r="A57" s="245" t="s">
        <v>366</v>
      </c>
      <c r="B57" s="606" t="str">
        <f>VLOOKUP(27,'１×Ｍ'!B29:J29,2)</f>
        <v>沼津工業高校A</v>
      </c>
      <c r="C57" s="606" t="e">
        <f>IF(INDEX([1]選手登録!$A$3:$I$20,MATCH($A$9,[1]選手登録!$A$4:$A$20,),MATCH($B57,[1]選手登録!$A$3:$I$3,))&lt;&gt;"",INDEX([1]選手登録!$A$4:$I$20,MATCH($A$9,[1]選手登録!$A$4:$A$20,),MATCH($B57,[1]選手登録!$A$3:$I$3,)),"")</f>
        <v>#N/A</v>
      </c>
      <c r="D57" s="246" t="s">
        <v>19</v>
      </c>
      <c r="E57" s="607" t="str">
        <f>VLOOKUP(27,'１×Ｍ'!B29:J29,9)</f>
        <v>河口義治</v>
      </c>
      <c r="F57" s="608" t="e">
        <f>IF(INDEX([1]選手登録!$A$3:$I$20,MATCH($A$9,[1]選手登録!$A$4:$A$20,),MATCH($B57,[1]選手登録!$A$3:$I$3,))&lt;&gt;"",INDEX([1]選手登録!$A$4:$I$20,MATCH($A$9,[1]選手登録!$A$4:$A$20,),MATCH($B57,[1]選手登録!$A$3:$I$3,)),"")</f>
        <v>#N/A</v>
      </c>
      <c r="H57" s="245" t="s">
        <v>23</v>
      </c>
      <c r="I57" s="606" t="str">
        <f>VLOOKUP(28,'１×Ｍ'!B30:J30,2)</f>
        <v>沼津工業高校B</v>
      </c>
      <c r="J57" s="606" t="e">
        <f>IF(INDEX([1]選手登録!$A$3:$I$20,MATCH($A$9,[1]選手登録!$A$4:$A$20,),MATCH($B57,[1]選手登録!$A$3:$I$3,))&lt;&gt;"",INDEX([1]選手登録!$A$4:$I$20,MATCH($A$9,[1]選手登録!$A$4:$A$20,),MATCH($B57,[1]選手登録!$A$3:$I$3,)),"")</f>
        <v>#N/A</v>
      </c>
      <c r="K57" s="246" t="s">
        <v>19</v>
      </c>
      <c r="L57" s="607" t="str">
        <f>VLOOKUP(28,'１×Ｍ'!B30:J30,9)</f>
        <v>河口義治</v>
      </c>
      <c r="M57" s="608" t="e">
        <f>IF(INDEX([1]選手登録!$A$3:$I$20,MATCH($A$9,[1]選手登録!$A$4:$A$20,),MATCH($B57,[1]選手登録!$A$3:$I$3,))&lt;&gt;"",INDEX([1]選手登録!$A$4:$I$20,MATCH($A$9,[1]選手登録!$A$4:$A$20,),MATCH($B57,[1]選手登録!$A$3:$I$3,)),"")</f>
        <v>#N/A</v>
      </c>
    </row>
    <row r="58" spans="1:13" ht="13" x14ac:dyDescent="0.2">
      <c r="A58" s="247" t="s">
        <v>20</v>
      </c>
      <c r="B58" s="236" t="s">
        <v>24</v>
      </c>
      <c r="C58" s="237" t="s">
        <v>25</v>
      </c>
      <c r="D58" s="236" t="s">
        <v>21</v>
      </c>
      <c r="E58" s="238"/>
      <c r="F58" s="239"/>
      <c r="H58" s="247" t="s">
        <v>20</v>
      </c>
      <c r="I58" s="236" t="s">
        <v>24</v>
      </c>
      <c r="J58" s="237" t="s">
        <v>25</v>
      </c>
      <c r="K58" s="236" t="s">
        <v>21</v>
      </c>
      <c r="L58" s="238"/>
      <c r="M58" s="239"/>
    </row>
    <row r="59" spans="1:13" ht="13.5" thickBot="1" x14ac:dyDescent="0.25">
      <c r="A59" s="248" t="s">
        <v>22</v>
      </c>
      <c r="B59" s="240" t="str">
        <f>VLOOKUP(27,'１×Ｍ'!B29:J29,4)</f>
        <v>廣瀨</v>
      </c>
      <c r="C59" s="241" t="str">
        <f>VLOOKUP(27,'１×Ｍ'!B29:J29,5)</f>
        <v>薫</v>
      </c>
      <c r="D59" s="240">
        <f>VLOOKUP(27,'１×Ｍ'!B29:J29,6)</f>
        <v>2</v>
      </c>
      <c r="E59" s="242"/>
      <c r="F59" s="232"/>
      <c r="H59" s="248" t="s">
        <v>22</v>
      </c>
      <c r="I59" s="240" t="str">
        <f>VLOOKUP(28,'１×Ｍ'!B30:J30,4)</f>
        <v>窪田</v>
      </c>
      <c r="J59" s="241" t="str">
        <f>VLOOKUP(28,'１×Ｍ'!B30:J30,5)</f>
        <v>祐貴</v>
      </c>
      <c r="K59" s="240">
        <f>VLOOKUP(28,'１×Ｍ'!B30:J30,6)</f>
        <v>2</v>
      </c>
      <c r="L59" s="242"/>
      <c r="M59" s="232"/>
    </row>
    <row r="60" spans="1:13" ht="13.5" thickBot="1" x14ac:dyDescent="0.25">
      <c r="A60" s="232"/>
      <c r="B60" s="232"/>
      <c r="D60" s="232"/>
      <c r="E60" s="232"/>
      <c r="F60" s="232"/>
      <c r="H60" s="232"/>
      <c r="I60" s="232"/>
      <c r="K60" s="232"/>
      <c r="L60" s="232"/>
      <c r="M60" s="232"/>
    </row>
    <row r="61" spans="1:13" ht="13.5" thickBot="1" x14ac:dyDescent="0.25">
      <c r="A61" s="245" t="s">
        <v>366</v>
      </c>
      <c r="B61" s="606" t="str">
        <f>VLOOKUP(29,'１×Ｍ'!B31:J31,2)</f>
        <v>沼津東高校A</v>
      </c>
      <c r="C61" s="606" t="e">
        <f>IF(INDEX([1]選手登録!$A$3:$I$20,MATCH($A$9,[1]選手登録!$A$4:$A$20,),MATCH($B61,[1]選手登録!$A$3:$I$3,))&lt;&gt;"",INDEX([1]選手登録!$A$4:$I$20,MATCH($A$9,[1]選手登録!$A$4:$A$20,),MATCH($B61,[1]選手登録!$A$3:$I$3,)),"")</f>
        <v>#N/A</v>
      </c>
      <c r="D61" s="246" t="s">
        <v>19</v>
      </c>
      <c r="E61" s="607" t="str">
        <f>VLOOKUP(29,'１×Ｍ'!B31:J31,9)</f>
        <v>萩原康治</v>
      </c>
      <c r="F61" s="608" t="e">
        <f>IF(INDEX([1]選手登録!$A$3:$I$20,MATCH($A$9,[1]選手登録!$A$4:$A$20,),MATCH($B61,[1]選手登録!$A$3:$I$3,))&lt;&gt;"",INDEX([1]選手登録!$A$4:$I$20,MATCH($A$9,[1]選手登録!$A$4:$A$20,),MATCH($B61,[1]選手登録!$A$3:$I$3,)),"")</f>
        <v>#N/A</v>
      </c>
      <c r="H61" s="245" t="s">
        <v>335</v>
      </c>
      <c r="I61" s="606" t="str">
        <f>VLOOKUP(30,'１×Ｍ'!B32:J32,2)</f>
        <v>沼津東高校B</v>
      </c>
      <c r="J61" s="606" t="e">
        <f>IF(INDEX([1]選手登録!$A$3:$I$20,MATCH($A$9,[1]選手登録!$A$4:$A$20,),MATCH($B61,[1]選手登録!$A$3:$I$3,))&lt;&gt;"",INDEX([1]選手登録!$A$4:$I$20,MATCH($A$9,[1]選手登録!$A$4:$A$20,),MATCH($B61,[1]選手登録!$A$3:$I$3,)),"")</f>
        <v>#N/A</v>
      </c>
      <c r="K61" s="246" t="s">
        <v>19</v>
      </c>
      <c r="L61" s="607" t="str">
        <f>VLOOKUP(30,'１×Ｍ'!B32:J32,9)</f>
        <v>杉本由佳子</v>
      </c>
      <c r="M61" s="608" t="e">
        <f>IF(INDEX([1]選手登録!$A$3:$I$20,MATCH($A$9,[1]選手登録!$A$4:$A$20,),MATCH($B61,[1]選手登録!$A$3:$I$3,))&lt;&gt;"",INDEX([1]選手登録!$A$4:$I$20,MATCH($A$9,[1]選手登録!$A$4:$A$20,),MATCH($B61,[1]選手登録!$A$3:$I$3,)),"")</f>
        <v>#N/A</v>
      </c>
    </row>
    <row r="62" spans="1:13" ht="13" x14ac:dyDescent="0.2">
      <c r="A62" s="249" t="s">
        <v>20</v>
      </c>
      <c r="B62" s="250" t="s">
        <v>24</v>
      </c>
      <c r="C62" s="251" t="s">
        <v>25</v>
      </c>
      <c r="D62" s="250" t="s">
        <v>21</v>
      </c>
      <c r="E62" s="238"/>
      <c r="F62" s="239"/>
      <c r="H62" s="249" t="s">
        <v>20</v>
      </c>
      <c r="I62" s="250" t="s">
        <v>24</v>
      </c>
      <c r="J62" s="251" t="s">
        <v>25</v>
      </c>
      <c r="K62" s="250" t="s">
        <v>21</v>
      </c>
      <c r="L62" s="238"/>
      <c r="M62" s="239"/>
    </row>
    <row r="63" spans="1:13" ht="13.5" thickBot="1" x14ac:dyDescent="0.25">
      <c r="A63" s="252" t="s">
        <v>22</v>
      </c>
      <c r="B63" s="253" t="str">
        <f>VLOOKUP(29,'１×Ｍ'!B31:J31,4)</f>
        <v>小山</v>
      </c>
      <c r="C63" s="254" t="str">
        <f>VLOOKUP(29,'１×Ｍ'!B31:J31,5)</f>
        <v>宰</v>
      </c>
      <c r="D63" s="253">
        <f>VLOOKUP(29,'１×Ｍ'!B31:J31,6)</f>
        <v>3</v>
      </c>
      <c r="E63" s="242"/>
      <c r="F63" s="232"/>
      <c r="H63" s="252" t="s">
        <v>22</v>
      </c>
      <c r="I63" s="253" t="str">
        <f>VLOOKUP(30,'１×Ｍ'!B32:J32,4)</f>
        <v>小倉</v>
      </c>
      <c r="J63" s="254" t="str">
        <f>VLOOKUP(30,'１×Ｍ'!B32:J32,5)</f>
        <v>睦貴</v>
      </c>
      <c r="K63" s="253">
        <f>VLOOKUP(30,'１×Ｍ'!B32:J32,6)</f>
        <v>3</v>
      </c>
      <c r="L63" s="242"/>
      <c r="M63" s="232"/>
    </row>
    <row r="64" spans="1:13" ht="13.5" thickBot="1" x14ac:dyDescent="0.25">
      <c r="A64" s="232"/>
      <c r="B64" s="232"/>
      <c r="D64" s="232"/>
      <c r="E64" s="232"/>
      <c r="F64" s="232"/>
      <c r="H64" s="232"/>
      <c r="I64" s="232"/>
      <c r="K64" s="232"/>
      <c r="L64" s="232"/>
      <c r="M64" s="232"/>
    </row>
    <row r="65" spans="1:13" ht="13.5" thickBot="1" x14ac:dyDescent="0.25">
      <c r="A65" s="245" t="s">
        <v>335</v>
      </c>
      <c r="B65" s="606" t="str">
        <f>VLOOKUP(31,'１×Ｍ'!B33:J33,2)</f>
        <v>沼津東高校C</v>
      </c>
      <c r="C65" s="606" t="e">
        <f>IF(INDEX([1]選手登録!$A$3:$I$20,MATCH($A$9,[1]選手登録!$A$4:$A$20,),MATCH($B65,[1]選手登録!$A$3:$I$3,))&lt;&gt;"",INDEX([1]選手登録!$A$4:$I$20,MATCH($A$9,[1]選手登録!$A$4:$A$20,),MATCH($B65,[1]選手登録!$A$3:$I$3,)),"")</f>
        <v>#N/A</v>
      </c>
      <c r="D65" s="246" t="s">
        <v>19</v>
      </c>
      <c r="E65" s="607" t="str">
        <f>VLOOKUP(31,'１×Ｍ'!B33:J33,9)</f>
        <v>亀山圭治</v>
      </c>
      <c r="F65" s="608" t="e">
        <f>IF(INDEX([1]選手登録!$A$3:$I$20,MATCH($A$9,[1]選手登録!$A$4:$A$20,),MATCH($B65,[1]選手登録!$A$3:$I$3,))&lt;&gt;"",INDEX([1]選手登録!$A$4:$I$20,MATCH($A$9,[1]選手登録!$A$4:$A$20,),MATCH($B65,[1]選手登録!$A$3:$I$3,)),"")</f>
        <v>#N/A</v>
      </c>
      <c r="H65" s="245" t="s">
        <v>23</v>
      </c>
      <c r="I65" s="606" t="str">
        <f>VLOOKUP(32,'１×Ｍ'!B34:J34,2)</f>
        <v>沼津東高校D</v>
      </c>
      <c r="J65" s="606" t="e">
        <f>IF(INDEX([1]選手登録!$A$3:$I$20,MATCH($A$9,[1]選手登録!$A$4:$A$20,),MATCH($B65,[1]選手登録!$A$3:$I$3,))&lt;&gt;"",INDEX([1]選手登録!$A$4:$I$20,MATCH($A$9,[1]選手登録!$A$4:$A$20,),MATCH($B65,[1]選手登録!$A$3:$I$3,)),"")</f>
        <v>#N/A</v>
      </c>
      <c r="K65" s="246" t="s">
        <v>19</v>
      </c>
      <c r="L65" s="607" t="str">
        <f>VLOOKUP(32,'１×Ｍ'!B34:J34,9)</f>
        <v>萩原康治</v>
      </c>
      <c r="M65" s="608" t="e">
        <f>IF(INDEX([1]選手登録!$A$3:$I$20,MATCH($A$9,[1]選手登録!$A$4:$A$20,),MATCH($B65,[1]選手登録!$A$3:$I$3,))&lt;&gt;"",INDEX([1]選手登録!$A$4:$I$20,MATCH($A$9,[1]選手登録!$A$4:$A$20,),MATCH($B65,[1]選手登録!$A$3:$I$3,)),"")</f>
        <v>#N/A</v>
      </c>
    </row>
    <row r="66" spans="1:13" ht="13" x14ac:dyDescent="0.2">
      <c r="A66" s="247" t="s">
        <v>20</v>
      </c>
      <c r="B66" s="236" t="s">
        <v>24</v>
      </c>
      <c r="C66" s="237" t="s">
        <v>25</v>
      </c>
      <c r="D66" s="236" t="s">
        <v>21</v>
      </c>
      <c r="E66" s="238"/>
      <c r="F66" s="239"/>
      <c r="H66" s="247" t="s">
        <v>20</v>
      </c>
      <c r="I66" s="236" t="s">
        <v>24</v>
      </c>
      <c r="J66" s="237" t="s">
        <v>25</v>
      </c>
      <c r="K66" s="236" t="s">
        <v>21</v>
      </c>
      <c r="L66" s="238"/>
      <c r="M66" s="239"/>
    </row>
    <row r="67" spans="1:13" ht="13.5" thickBot="1" x14ac:dyDescent="0.25">
      <c r="A67" s="248" t="s">
        <v>22</v>
      </c>
      <c r="B67" s="240" t="str">
        <f>VLOOKUP(31,'１×Ｍ'!B33:J33,4)</f>
        <v>須田</v>
      </c>
      <c r="C67" s="241" t="str">
        <f>VLOOKUP(31,'１×Ｍ'!B33:J33,5)</f>
        <v>南月</v>
      </c>
      <c r="D67" s="240">
        <f>VLOOKUP(31,'１×Ｍ'!B33:J33,6)</f>
        <v>2</v>
      </c>
      <c r="E67" s="242"/>
      <c r="F67" s="232"/>
      <c r="H67" s="248" t="s">
        <v>22</v>
      </c>
      <c r="I67" s="240" t="str">
        <f>VLOOKUP(32,'１×Ｍ'!B34:J34,4)</f>
        <v>野中</v>
      </c>
      <c r="J67" s="241" t="str">
        <f>VLOOKUP(32,'１×Ｍ'!B34:J34,5)</f>
        <v>大翔</v>
      </c>
      <c r="K67" s="240">
        <f>VLOOKUP(32,'１×Ｍ'!B34:J34,6)</f>
        <v>2</v>
      </c>
      <c r="L67" s="242"/>
      <c r="M67" s="232"/>
    </row>
    <row r="68" spans="1:13" ht="13.5" thickBot="1" x14ac:dyDescent="0.25">
      <c r="A68" s="232"/>
      <c r="B68" s="232"/>
      <c r="D68" s="232"/>
      <c r="E68" s="232"/>
      <c r="F68" s="232"/>
      <c r="H68" s="232"/>
      <c r="I68" s="232"/>
      <c r="K68" s="232"/>
      <c r="L68" s="232"/>
      <c r="M68" s="232"/>
    </row>
    <row r="69" spans="1:13" ht="13.5" thickBot="1" x14ac:dyDescent="0.25">
      <c r="A69" s="245" t="s">
        <v>335</v>
      </c>
      <c r="B69" s="606" t="str">
        <f>VLOOKUP(33,'１×Ｍ'!B35:J35,2)</f>
        <v>浜松西高校A</v>
      </c>
      <c r="C69" s="606" t="e">
        <f>IF(INDEX([1]選手登録!$A$3:$I$20,MATCH($A$9,[1]選手登録!$A$4:$A$20,),MATCH($B69,[1]選手登録!$A$3:$I$3,))&lt;&gt;"",INDEX([1]選手登録!$A$4:$I$20,MATCH($A$9,[1]選手登録!$A$4:$A$20,),MATCH($B69,[1]選手登録!$A$3:$I$3,)),"")</f>
        <v>#N/A</v>
      </c>
      <c r="D69" s="246" t="s">
        <v>19</v>
      </c>
      <c r="E69" s="607" t="str">
        <f>VLOOKUP(33,'１×Ｍ'!B35:J35,9)</f>
        <v>上西智紀</v>
      </c>
      <c r="F69" s="608" t="e">
        <f>IF(INDEX([1]選手登録!$A$3:$I$20,MATCH($A$9,[1]選手登録!$A$4:$A$20,),MATCH($B69,[1]選手登録!$A$3:$I$3,))&lt;&gt;"",INDEX([1]選手登録!$A$4:$I$20,MATCH($A$9,[1]選手登録!$A$4:$A$20,),MATCH($B69,[1]選手登録!$A$3:$I$3,)),"")</f>
        <v>#N/A</v>
      </c>
      <c r="H69" s="245" t="s">
        <v>335</v>
      </c>
      <c r="I69" s="606" t="str">
        <f>VLOOKUP(34,'１×Ｍ'!B36:J36,2)</f>
        <v>浜松西高校B</v>
      </c>
      <c r="J69" s="606" t="e">
        <f>IF(INDEX([1]選手登録!$A$3:$I$20,MATCH($A$9,[1]選手登録!$A$4:$A$20,),MATCH($B69,[1]選手登録!$A$3:$I$3,))&lt;&gt;"",INDEX([1]選手登録!$A$4:$I$20,MATCH($A$9,[1]選手登録!$A$4:$A$20,),MATCH($B69,[1]選手登録!$A$3:$I$3,)),"")</f>
        <v>#N/A</v>
      </c>
      <c r="K69" s="246" t="s">
        <v>19</v>
      </c>
      <c r="L69" s="607" t="str">
        <f>VLOOKUP(34,'１×Ｍ'!B36:J36,9)</f>
        <v>上西智紀</v>
      </c>
      <c r="M69" s="608" t="e">
        <f>IF(INDEX([1]選手登録!$A$3:$I$20,MATCH($A$9,[1]選手登録!$A$4:$A$20,),MATCH($B69,[1]選手登録!$A$3:$I$3,))&lt;&gt;"",INDEX([1]選手登録!$A$4:$I$20,MATCH($A$9,[1]選手登録!$A$4:$A$20,),MATCH($B69,[1]選手登録!$A$3:$I$3,)),"")</f>
        <v>#N/A</v>
      </c>
    </row>
    <row r="70" spans="1:13" ht="13" x14ac:dyDescent="0.2">
      <c r="A70" s="249" t="s">
        <v>20</v>
      </c>
      <c r="B70" s="250" t="s">
        <v>24</v>
      </c>
      <c r="C70" s="251" t="s">
        <v>25</v>
      </c>
      <c r="D70" s="250" t="s">
        <v>21</v>
      </c>
      <c r="E70" s="238"/>
      <c r="F70" s="239"/>
      <c r="H70" s="249" t="s">
        <v>20</v>
      </c>
      <c r="I70" s="250" t="s">
        <v>24</v>
      </c>
      <c r="J70" s="251" t="s">
        <v>25</v>
      </c>
      <c r="K70" s="250" t="s">
        <v>21</v>
      </c>
      <c r="L70" s="238"/>
      <c r="M70" s="239"/>
    </row>
    <row r="71" spans="1:13" ht="13.5" thickBot="1" x14ac:dyDescent="0.25">
      <c r="A71" s="252" t="s">
        <v>22</v>
      </c>
      <c r="B71" s="253" t="str">
        <f>VLOOKUP(33,'１×Ｍ'!B35:J35,4)</f>
        <v>森本</v>
      </c>
      <c r="C71" s="254" t="str">
        <f>VLOOKUP(33,'１×Ｍ'!B35:J35,5)</f>
        <v>朔矢</v>
      </c>
      <c r="D71" s="253">
        <f>VLOOKUP(33,'１×Ｍ'!B35:J35,6)</f>
        <v>2</v>
      </c>
      <c r="E71" s="242"/>
      <c r="F71" s="232"/>
      <c r="H71" s="252" t="s">
        <v>22</v>
      </c>
      <c r="I71" s="253" t="str">
        <f>VLOOKUP(34,'１×Ｍ'!B36:J36,4)</f>
        <v>内山</v>
      </c>
      <c r="J71" s="254" t="str">
        <f>VLOOKUP(34,'１×Ｍ'!B36:J36,5)</f>
        <v>開陽</v>
      </c>
      <c r="K71" s="253">
        <f>VLOOKUP(34,'１×Ｍ'!B36:J36,6)</f>
        <v>2</v>
      </c>
      <c r="L71" s="242"/>
      <c r="M71" s="232"/>
    </row>
    <row r="72" spans="1:13" ht="13.5" thickBot="1" x14ac:dyDescent="0.25">
      <c r="A72" s="232"/>
      <c r="B72" s="232"/>
      <c r="D72" s="232"/>
      <c r="E72" s="232"/>
      <c r="F72" s="232"/>
      <c r="H72" s="232"/>
      <c r="I72" s="232"/>
      <c r="K72" s="232"/>
      <c r="L72" s="232"/>
      <c r="M72" s="232"/>
    </row>
    <row r="73" spans="1:13" ht="13.5" thickBot="1" x14ac:dyDescent="0.25">
      <c r="A73" s="245" t="s">
        <v>335</v>
      </c>
      <c r="B73" s="606" t="str">
        <f>VLOOKUP(35,'１×Ｍ'!B37:J37,2)</f>
        <v>浜松北高校A</v>
      </c>
      <c r="C73" s="606" t="e">
        <f>IF(INDEX([1]選手登録!$A$3:$I$20,MATCH($A$9,[1]選手登録!$A$4:$A$20,),MATCH($B73,[1]選手登録!$A$3:$I$3,))&lt;&gt;"",INDEX([1]選手登録!$A$4:$I$20,MATCH($A$9,[1]選手登録!$A$4:$A$20,),MATCH($B73,[1]選手登録!$A$3:$I$3,)),"")</f>
        <v>#N/A</v>
      </c>
      <c r="D73" s="246" t="s">
        <v>19</v>
      </c>
      <c r="E73" s="607" t="str">
        <f>VLOOKUP(35,'１×Ｍ'!B37:J37,9)</f>
        <v>山本幸生</v>
      </c>
      <c r="F73" s="608" t="e">
        <f>IF(INDEX([1]選手登録!$A$3:$I$20,MATCH($A$9,[1]選手登録!$A$4:$A$20,),MATCH($B73,[1]選手登録!$A$3:$I$3,))&lt;&gt;"",INDEX([1]選手登録!$A$4:$I$20,MATCH($A$9,[1]選手登録!$A$4:$A$20,),MATCH($B73,[1]選手登録!$A$3:$I$3,)),"")</f>
        <v>#N/A</v>
      </c>
      <c r="H73" s="245" t="s">
        <v>335</v>
      </c>
      <c r="I73" s="606" t="str">
        <f>VLOOKUP(36,'１×Ｍ'!B38:J38,2)</f>
        <v>浜松北高校B</v>
      </c>
      <c r="J73" s="606" t="e">
        <f>IF(INDEX([1]選手登録!$A$3:$I$20,MATCH($A$9,[1]選手登録!$A$4:$A$20,),MATCH($B73,[1]選手登録!$A$3:$I$3,))&lt;&gt;"",INDEX([1]選手登録!$A$4:$I$20,MATCH($A$9,[1]選手登録!$A$4:$A$20,),MATCH($B73,[1]選手登録!$A$3:$I$3,)),"")</f>
        <v>#N/A</v>
      </c>
      <c r="K73" s="246" t="s">
        <v>19</v>
      </c>
      <c r="L73" s="607" t="str">
        <f>VLOOKUP(36,'１×Ｍ'!B38:J38,9)</f>
        <v>山本幸生</v>
      </c>
      <c r="M73" s="608" t="e">
        <f>IF(INDEX([1]選手登録!$A$3:$I$20,MATCH($A$9,[1]選手登録!$A$4:$A$20,),MATCH($B73,[1]選手登録!$A$3:$I$3,))&lt;&gt;"",INDEX([1]選手登録!$A$4:$I$20,MATCH($A$9,[1]選手登録!$A$4:$A$20,),MATCH($B73,[1]選手登録!$A$3:$I$3,)),"")</f>
        <v>#N/A</v>
      </c>
    </row>
    <row r="74" spans="1:13" ht="13" x14ac:dyDescent="0.2">
      <c r="A74" s="249" t="s">
        <v>20</v>
      </c>
      <c r="B74" s="250" t="s">
        <v>24</v>
      </c>
      <c r="C74" s="251" t="s">
        <v>25</v>
      </c>
      <c r="D74" s="250" t="s">
        <v>21</v>
      </c>
      <c r="E74" s="238"/>
      <c r="F74" s="239"/>
      <c r="H74" s="249" t="s">
        <v>20</v>
      </c>
      <c r="I74" s="250" t="s">
        <v>1098</v>
      </c>
      <c r="J74" s="251" t="s">
        <v>25</v>
      </c>
      <c r="K74" s="250" t="s">
        <v>21</v>
      </c>
      <c r="L74" s="238"/>
      <c r="M74" s="239"/>
    </row>
    <row r="75" spans="1:13" ht="13.5" thickBot="1" x14ac:dyDescent="0.25">
      <c r="A75" s="252" t="s">
        <v>22</v>
      </c>
      <c r="B75" s="253" t="str">
        <f>VLOOKUP(35,'１×Ｍ'!B37:J37,4)</f>
        <v>戸川</v>
      </c>
      <c r="C75" s="254" t="str">
        <f>VLOOKUP(35,'１×Ｍ'!B37:J37,5)</f>
        <v>駿</v>
      </c>
      <c r="D75" s="253">
        <f>VLOOKUP(35,'１×Ｍ'!B37:J37,6)</f>
        <v>3</v>
      </c>
      <c r="E75" s="242"/>
      <c r="F75" s="232"/>
      <c r="H75" s="252" t="s">
        <v>22</v>
      </c>
      <c r="I75" s="253" t="str">
        <f>VLOOKUP(36,'１×Ｍ'!B38:J38,4)</f>
        <v>白井</v>
      </c>
      <c r="J75" s="254" t="str">
        <f>VLOOKUP(36,'１×Ｍ'!B38:J38,5)</f>
        <v>陽徳</v>
      </c>
      <c r="K75" s="253">
        <f>VLOOKUP(36,'１×Ｍ'!B38:J38,6)</f>
        <v>2</v>
      </c>
      <c r="L75" s="242"/>
      <c r="M75" s="232"/>
    </row>
    <row r="76" spans="1:13" ht="13.5" thickBot="1" x14ac:dyDescent="0.25">
      <c r="A76" s="232"/>
      <c r="B76" s="232"/>
      <c r="D76" s="232"/>
      <c r="E76" s="232"/>
      <c r="F76" s="232"/>
      <c r="H76" s="232"/>
      <c r="I76" s="232"/>
      <c r="K76" s="232"/>
      <c r="L76" s="232"/>
      <c r="M76" s="232"/>
    </row>
    <row r="77" spans="1:13" ht="13.5" thickBot="1" x14ac:dyDescent="0.25">
      <c r="A77" s="245" t="s">
        <v>335</v>
      </c>
      <c r="B77" s="606" t="str">
        <f>VLOOKUP(37,'１×Ｍ'!B39:J39,2)</f>
        <v>浜松北高校C</v>
      </c>
      <c r="C77" s="606" t="e">
        <f>IF(INDEX([1]選手登録!$A$3:$I$20,MATCH($A$9,[1]選手登録!$A$4:$A$20,),MATCH($B77,[1]選手登録!$A$3:$I$3,))&lt;&gt;"",INDEX([1]選手登録!$A$4:$I$20,MATCH($A$9,[1]選手登録!$A$4:$A$20,),MATCH($B77,[1]選手登録!$A$3:$I$3,)),"")</f>
        <v>#N/A</v>
      </c>
      <c r="D77" s="246" t="s">
        <v>19</v>
      </c>
      <c r="E77" s="607" t="str">
        <f>VLOOKUP(37,'１×Ｍ'!B39:J39,9)</f>
        <v>山本幸生</v>
      </c>
      <c r="F77" s="608" t="e">
        <f>IF(INDEX([1]選手登録!$A$3:$I$20,MATCH($A$9,[1]選手登録!$A$4:$A$20,),MATCH($B77,[1]選手登録!$A$3:$I$3,))&lt;&gt;"",INDEX([1]選手登録!$A$4:$I$20,MATCH($A$9,[1]選手登録!$A$4:$A$20,),MATCH($B77,[1]選手登録!$A$3:$I$3,)),"")</f>
        <v>#N/A</v>
      </c>
      <c r="H77" s="245" t="s">
        <v>23</v>
      </c>
      <c r="I77" s="606" t="str">
        <f>VLOOKUP(38,'１×Ｍ'!B40:J40,2)</f>
        <v>浜松北高校D</v>
      </c>
      <c r="J77" s="606" t="e">
        <f>IF(INDEX([1]選手登録!$A$3:$I$20,MATCH($A$9,[1]選手登録!$A$4:$A$20,),MATCH($B77,[1]選手登録!$A$3:$I$3,))&lt;&gt;"",INDEX([1]選手登録!$A$4:$I$20,MATCH($A$9,[1]選手登録!$A$4:$A$20,),MATCH($B77,[1]選手登録!$A$3:$I$3,)),"")</f>
        <v>#N/A</v>
      </c>
      <c r="K77" s="246" t="s">
        <v>19</v>
      </c>
      <c r="L77" s="607" t="str">
        <f>VLOOKUP(38,'１×Ｍ'!B40:J40,9)</f>
        <v>山本幸生</v>
      </c>
      <c r="M77" s="608" t="e">
        <f>IF(INDEX([1]選手登録!$A$3:$I$20,MATCH($A$9,[1]選手登録!$A$4:$A$20,),MATCH($B77,[1]選手登録!$A$3:$I$3,))&lt;&gt;"",INDEX([1]選手登録!$A$4:$I$20,MATCH($A$9,[1]選手登録!$A$4:$A$20,),MATCH($B77,[1]選手登録!$A$3:$I$3,)),"")</f>
        <v>#N/A</v>
      </c>
    </row>
    <row r="78" spans="1:13" ht="13" x14ac:dyDescent="0.2">
      <c r="A78" s="247" t="s">
        <v>20</v>
      </c>
      <c r="B78" s="236" t="s">
        <v>24</v>
      </c>
      <c r="C78" s="237" t="s">
        <v>25</v>
      </c>
      <c r="D78" s="236" t="s">
        <v>21</v>
      </c>
      <c r="E78" s="238"/>
      <c r="F78" s="239"/>
      <c r="H78" s="247" t="s">
        <v>20</v>
      </c>
      <c r="I78" s="236" t="s">
        <v>24</v>
      </c>
      <c r="J78" s="237" t="s">
        <v>25</v>
      </c>
      <c r="K78" s="236" t="s">
        <v>21</v>
      </c>
      <c r="L78" s="238"/>
      <c r="M78" s="239"/>
    </row>
    <row r="79" spans="1:13" ht="13.5" thickBot="1" x14ac:dyDescent="0.25">
      <c r="A79" s="248" t="s">
        <v>22</v>
      </c>
      <c r="B79" s="240" t="str">
        <f>VLOOKUP(37,'１×Ｍ'!B39:J39,4)</f>
        <v>見山</v>
      </c>
      <c r="C79" s="241" t="str">
        <f>VLOOKUP(37,'１×Ｍ'!B39:J39,5)</f>
        <v>涼輔</v>
      </c>
      <c r="D79" s="240">
        <f>VLOOKUP(37,'１×Ｍ'!B39:J39,6)</f>
        <v>2</v>
      </c>
      <c r="E79" s="242"/>
      <c r="F79" s="232"/>
      <c r="H79" s="248" t="s">
        <v>22</v>
      </c>
      <c r="I79" s="240" t="str">
        <f>VLOOKUP(38,'１×Ｍ'!B40:J40,4)</f>
        <v>水島</v>
      </c>
      <c r="J79" s="241" t="str">
        <f>VLOOKUP(38,'１×Ｍ'!B40:J40,5)</f>
        <v>凛</v>
      </c>
      <c r="K79" s="240">
        <f>VLOOKUP(38,'１×Ｍ'!B40:J40,6)</f>
        <v>2</v>
      </c>
      <c r="L79" s="242"/>
      <c r="M79" s="232"/>
    </row>
    <row r="80" spans="1:13" ht="13.5" thickBot="1" x14ac:dyDescent="0.25">
      <c r="A80" s="232"/>
      <c r="B80" s="232"/>
      <c r="D80" s="232"/>
      <c r="E80" s="232"/>
      <c r="F80" s="232"/>
      <c r="H80" s="232"/>
      <c r="I80" s="232"/>
      <c r="K80" s="232"/>
      <c r="L80" s="232"/>
      <c r="M80" s="232"/>
    </row>
    <row r="81" spans="1:13" ht="13.5" thickBot="1" x14ac:dyDescent="0.25">
      <c r="A81" s="245" t="s">
        <v>335</v>
      </c>
      <c r="B81" s="606" t="str">
        <f>VLOOKUP(39,'１×Ｍ'!B41:J41,2)</f>
        <v>湖西高校A</v>
      </c>
      <c r="C81" s="606" t="e">
        <f>IF(INDEX([1]選手登録!$A$3:$I$20,MATCH($A$9,[1]選手登録!$A$4:$A$20,),MATCH($B81,[1]選手登録!$A$3:$I$3,))&lt;&gt;"",INDEX([1]選手登録!$A$4:$I$20,MATCH($A$9,[1]選手登録!$A$4:$A$20,),MATCH($B81,[1]選手登録!$A$3:$I$3,)),"")</f>
        <v>#N/A</v>
      </c>
      <c r="D81" s="246" t="s">
        <v>19</v>
      </c>
      <c r="E81" s="607" t="str">
        <f>VLOOKUP(39,'１×Ｍ'!B41:J41,9)</f>
        <v>鈴木研也</v>
      </c>
      <c r="F81" s="608" t="e">
        <f>IF(INDEX([1]選手登録!$A$3:$I$20,MATCH($A$9,[1]選手登録!$A$4:$A$20,),MATCH($B81,[1]選手登録!$A$3:$I$3,))&lt;&gt;"",INDEX([1]選手登録!$A$4:$I$20,MATCH($A$9,[1]選手登録!$A$4:$A$20,),MATCH($B81,[1]選手登録!$A$3:$I$3,)),"")</f>
        <v>#N/A</v>
      </c>
      <c r="H81" s="245" t="s">
        <v>335</v>
      </c>
      <c r="I81" s="606" t="str">
        <f>VLOOKUP(40,'１×Ｍ'!B42:J42,2)</f>
        <v>湖西高校B</v>
      </c>
      <c r="J81" s="606" t="e">
        <f>IF(INDEX([1]選手登録!$A$3:$I$20,MATCH($A$9,[1]選手登録!$A$4:$A$20,),MATCH($B81,[1]選手登録!$A$3:$I$3,))&lt;&gt;"",INDEX([1]選手登録!$A$4:$I$20,MATCH($A$9,[1]選手登録!$A$4:$A$20,),MATCH($B81,[1]選手登録!$A$3:$I$3,)),"")</f>
        <v>#N/A</v>
      </c>
      <c r="K81" s="246" t="s">
        <v>19</v>
      </c>
      <c r="L81" s="607" t="str">
        <f>VLOOKUP(40,'１×Ｍ'!B42:J42,9)</f>
        <v>鈴木研也</v>
      </c>
      <c r="M81" s="608" t="e">
        <f>IF(INDEX([1]選手登録!$A$3:$I$20,MATCH($A$9,[1]選手登録!$A$4:$A$20,),MATCH($B81,[1]選手登録!$A$3:$I$3,))&lt;&gt;"",INDEX([1]選手登録!$A$4:$I$20,MATCH($A$9,[1]選手登録!$A$4:$A$20,),MATCH($B81,[1]選手登録!$A$3:$I$3,)),"")</f>
        <v>#N/A</v>
      </c>
    </row>
    <row r="82" spans="1:13" ht="13" x14ac:dyDescent="0.2">
      <c r="A82" s="249" t="s">
        <v>20</v>
      </c>
      <c r="B82" s="250" t="s">
        <v>24</v>
      </c>
      <c r="C82" s="251" t="s">
        <v>25</v>
      </c>
      <c r="D82" s="250" t="s">
        <v>21</v>
      </c>
      <c r="E82" s="238"/>
      <c r="F82" s="239"/>
      <c r="H82" s="249" t="s">
        <v>20</v>
      </c>
      <c r="I82" s="250" t="s">
        <v>24</v>
      </c>
      <c r="J82" s="251" t="s">
        <v>25</v>
      </c>
      <c r="K82" s="250" t="s">
        <v>21</v>
      </c>
      <c r="L82" s="238"/>
      <c r="M82" s="239"/>
    </row>
    <row r="83" spans="1:13" ht="13.5" thickBot="1" x14ac:dyDescent="0.25">
      <c r="A83" s="252" t="s">
        <v>22</v>
      </c>
      <c r="B83" s="253" t="str">
        <f>VLOOKUP(39,'１×Ｍ'!B41:J41,4)</f>
        <v>石田</v>
      </c>
      <c r="C83" s="254" t="str">
        <f>VLOOKUP(39,'１×Ｍ'!B41:J41,5)</f>
        <v>覚士</v>
      </c>
      <c r="D83" s="253">
        <f>VLOOKUP(39,'１×Ｍ'!B41:J41,6)</f>
        <v>3</v>
      </c>
      <c r="E83" s="242"/>
      <c r="F83" s="232"/>
      <c r="H83" s="252" t="s">
        <v>22</v>
      </c>
      <c r="I83" s="253" t="str">
        <f>VLOOKUP(40,'１×Ｍ'!B42:J42,4)</f>
        <v>守屋</v>
      </c>
      <c r="J83" s="254" t="str">
        <f>VLOOKUP(40,'１×Ｍ'!B42:J42,5)</f>
        <v>拓人</v>
      </c>
      <c r="K83" s="253">
        <f>VLOOKUP(40,'１×Ｍ'!B42:J42,6)</f>
        <v>3</v>
      </c>
      <c r="L83" s="242"/>
      <c r="M83" s="232"/>
    </row>
    <row r="84" spans="1:13" ht="13.5" thickBot="1" x14ac:dyDescent="0.25">
      <c r="A84" s="232"/>
      <c r="B84" s="232"/>
      <c r="D84" s="232"/>
      <c r="E84" s="232"/>
      <c r="F84" s="232"/>
      <c r="H84" s="232"/>
      <c r="I84" s="232"/>
      <c r="K84" s="232"/>
      <c r="L84" s="232"/>
      <c r="M84" s="232"/>
    </row>
    <row r="85" spans="1:13" ht="13.5" thickBot="1" x14ac:dyDescent="0.25">
      <c r="A85" s="245" t="s">
        <v>335</v>
      </c>
      <c r="B85" s="606" t="str">
        <f>VLOOKUP(41,'１×Ｍ'!B43:J43,2)</f>
        <v>湖西高校C</v>
      </c>
      <c r="C85" s="606" t="e">
        <f>IF(INDEX([1]選手登録!$A$3:$I$20,MATCH($A$9,[1]選手登録!$A$4:$A$20,),MATCH($B85,[1]選手登録!$A$3:$I$3,))&lt;&gt;"",INDEX([1]選手登録!$A$4:$I$20,MATCH($A$9,[1]選手登録!$A$4:$A$20,),MATCH($B85,[1]選手登録!$A$3:$I$3,)),"")</f>
        <v>#N/A</v>
      </c>
      <c r="D85" s="246" t="s">
        <v>19</v>
      </c>
      <c r="E85" s="607" t="str">
        <f>VLOOKUP(41,'１×Ｍ'!B43:J43,9)</f>
        <v>鈴木研也</v>
      </c>
      <c r="F85" s="608" t="e">
        <f>IF(INDEX([1]選手登録!$A$3:$I$20,MATCH($A$9,[1]選手登録!$A$4:$A$20,),MATCH($B85,[1]選手登録!$A$3:$I$3,))&lt;&gt;"",INDEX([1]選手登録!$A$4:$I$20,MATCH($A$9,[1]選手登録!$A$4:$A$20,),MATCH($B85,[1]選手登録!$A$3:$I$3,)),"")</f>
        <v>#N/A</v>
      </c>
      <c r="H85" s="245" t="s">
        <v>335</v>
      </c>
      <c r="I85" s="606" t="e">
        <f>VLOOKUP(40,'１×Ｍ'!B46:J46,2)</f>
        <v>#N/A</v>
      </c>
      <c r="J85" s="606" t="e">
        <f>IF(INDEX([1]選手登録!$A$3:$I$20,MATCH($A$9,[1]選手登録!$A$4:$A$20,),MATCH($B85,[1]選手登録!$A$3:$I$3,))&lt;&gt;"",INDEX([1]選手登録!$A$4:$I$20,MATCH($A$9,[1]選手登録!$A$4:$A$20,),MATCH($B85,[1]選手登録!$A$3:$I$3,)),"")</f>
        <v>#N/A</v>
      </c>
      <c r="K85" s="246" t="s">
        <v>19</v>
      </c>
      <c r="L85" s="607" t="e">
        <f>VLOOKUP(40,'１×Ｍ'!B46:J46,9)</f>
        <v>#N/A</v>
      </c>
      <c r="M85" s="608" t="e">
        <f>IF(INDEX([1]選手登録!$A$3:$I$20,MATCH($A$9,[1]選手登録!$A$4:$A$20,),MATCH($B85,[1]選手登録!$A$3:$I$3,))&lt;&gt;"",INDEX([1]選手登録!$A$4:$I$20,MATCH($A$9,[1]選手登録!$A$4:$A$20,),MATCH($B85,[1]選手登録!$A$3:$I$3,)),"")</f>
        <v>#N/A</v>
      </c>
    </row>
    <row r="86" spans="1:13" ht="13" x14ac:dyDescent="0.2">
      <c r="A86" s="249" t="s">
        <v>20</v>
      </c>
      <c r="B86" s="250" t="s">
        <v>24</v>
      </c>
      <c r="C86" s="251" t="s">
        <v>25</v>
      </c>
      <c r="D86" s="250" t="s">
        <v>21</v>
      </c>
      <c r="E86" s="238"/>
      <c r="F86" s="239"/>
      <c r="H86" s="249" t="s">
        <v>20</v>
      </c>
      <c r="I86" s="250" t="s">
        <v>24</v>
      </c>
      <c r="J86" s="251" t="s">
        <v>25</v>
      </c>
      <c r="K86" s="250" t="s">
        <v>21</v>
      </c>
      <c r="L86" s="238"/>
      <c r="M86" s="239"/>
    </row>
    <row r="87" spans="1:13" ht="13.5" thickBot="1" x14ac:dyDescent="0.25">
      <c r="A87" s="252" t="s">
        <v>22</v>
      </c>
      <c r="B87" s="253" t="str">
        <f>VLOOKUP(41,'１×Ｍ'!B43:J43,4)</f>
        <v>中村</v>
      </c>
      <c r="C87" s="254" t="str">
        <f>VLOOKUP(41,'１×Ｍ'!B43:J43,5)</f>
        <v>晟也</v>
      </c>
      <c r="D87" s="253">
        <f>VLOOKUP(41,'１×Ｍ'!B43:J43,6)</f>
        <v>3</v>
      </c>
      <c r="E87" s="242"/>
      <c r="F87" s="232"/>
      <c r="H87" s="252" t="s">
        <v>22</v>
      </c>
      <c r="I87" s="253" t="e">
        <f>VLOOKUP(40,'１×Ｍ'!B46:J46,4)</f>
        <v>#N/A</v>
      </c>
      <c r="J87" s="254" t="e">
        <f>VLOOKUP(40,'１×Ｍ'!B46:J46,5)</f>
        <v>#N/A</v>
      </c>
      <c r="K87" s="253" t="e">
        <f>VLOOKUP(40,'１×Ｍ'!B46:J46,6)</f>
        <v>#N/A</v>
      </c>
      <c r="L87" s="242"/>
      <c r="M87" s="232"/>
    </row>
    <row r="88" spans="1:13" ht="13" x14ac:dyDescent="0.2">
      <c r="A88" s="232"/>
      <c r="B88" s="232"/>
      <c r="D88" s="232"/>
      <c r="E88" s="232"/>
      <c r="F88" s="232"/>
      <c r="H88" s="232"/>
      <c r="I88" s="232"/>
      <c r="K88" s="232"/>
      <c r="L88" s="232"/>
      <c r="M88" s="232"/>
    </row>
    <row r="89" spans="1:13" ht="15.75" customHeight="1" x14ac:dyDescent="0.2">
      <c r="A89" s="243" t="s">
        <v>367</v>
      </c>
      <c r="B89" s="243"/>
      <c r="C89" s="244"/>
      <c r="D89" s="243"/>
      <c r="E89" s="243"/>
      <c r="F89" s="243"/>
      <c r="G89" s="243"/>
      <c r="H89" s="243"/>
      <c r="I89" s="243"/>
      <c r="J89" s="244"/>
      <c r="K89" s="243"/>
      <c r="L89" s="243"/>
      <c r="M89" s="243"/>
    </row>
    <row r="90" spans="1:13" ht="15.75" customHeight="1" thickBot="1" x14ac:dyDescent="0.25"/>
    <row r="91" spans="1:13" ht="15.75" customHeight="1" thickBot="1" x14ac:dyDescent="0.25">
      <c r="A91" s="245" t="s">
        <v>368</v>
      </c>
      <c r="B91" s="606" t="str">
        <f>VLOOKUP(1,'１×Ｗ'!B3:J3,2)</f>
        <v>新居高校A</v>
      </c>
      <c r="C91" s="606" t="e">
        <f>IF(INDEX([1]選手登録!$A$3:$I$20,MATCH($A$9,[1]選手登録!$A$4:$A$20,),MATCH($B91,[1]選手登録!$A$3:$I$3,))&lt;&gt;"",INDEX([1]選手登録!$A$4:$I$20,MATCH($A$9,[1]選手登録!$A$4:$A$20,),MATCH($B91,[1]選手登録!$A$3:$I$3,)),"")</f>
        <v>#N/A</v>
      </c>
      <c r="D91" s="246" t="s">
        <v>19</v>
      </c>
      <c r="E91" s="607" t="str">
        <f>VLOOKUP(1,'１×Ｗ'!B3:J3,9)</f>
        <v>小杉佳子</v>
      </c>
      <c r="F91" s="608" t="e">
        <f>IF(INDEX([1]選手登録!$A$3:$I$20,MATCH($A$9,[1]選手登録!$A$4:$A$20,),MATCH($B91,[1]選手登録!$A$3:$I$3,))&lt;&gt;"",INDEX([1]選手登録!$A$4:$I$20,MATCH($A$9,[1]選手登録!$A$4:$A$20,),MATCH($B91,[1]選手登録!$A$3:$I$3,)),"")</f>
        <v>#N/A</v>
      </c>
      <c r="H91" s="245" t="s">
        <v>23</v>
      </c>
      <c r="I91" s="606" t="str">
        <f>VLOOKUP(2,'１×Ｗ'!B4:J4,2)</f>
        <v>新居高校B</v>
      </c>
      <c r="J91" s="606" t="e">
        <f>IF(INDEX([1]選手登録!$A$3:$I$20,MATCH($A$9,[1]選手登録!$A$4:$A$20,),MATCH($B91,[1]選手登録!$A$3:$I$3,))&lt;&gt;"",INDEX([1]選手登録!$A$4:$I$20,MATCH($A$9,[1]選手登録!$A$4:$A$20,),MATCH($B91,[1]選手登録!$A$3:$I$3,)),"")</f>
        <v>#N/A</v>
      </c>
      <c r="K91" s="246" t="s">
        <v>19</v>
      </c>
      <c r="L91" s="607" t="str">
        <f>VLOOKUP(2,'１×Ｗ'!B4:J4,9)</f>
        <v>小杉佳子</v>
      </c>
      <c r="M91" s="608" t="e">
        <f>IF(INDEX([1]選手登録!$A$3:$I$20,MATCH($A$9,[1]選手登録!$A$4:$A$20,),MATCH($B91,[1]選手登録!$A$3:$I$3,))&lt;&gt;"",INDEX([1]選手登録!$A$4:$I$20,MATCH($A$9,[1]選手登録!$A$4:$A$20,),MATCH($B91,[1]選手登録!$A$3:$I$3,)),"")</f>
        <v>#N/A</v>
      </c>
    </row>
    <row r="92" spans="1:13" ht="15.75" customHeight="1" x14ac:dyDescent="0.2">
      <c r="A92" s="247" t="s">
        <v>20</v>
      </c>
      <c r="B92" s="236" t="s">
        <v>24</v>
      </c>
      <c r="C92" s="237" t="s">
        <v>25</v>
      </c>
      <c r="D92" s="236" t="s">
        <v>21</v>
      </c>
      <c r="E92" s="238"/>
      <c r="F92" s="239"/>
      <c r="H92" s="247" t="s">
        <v>20</v>
      </c>
      <c r="I92" s="236" t="s">
        <v>24</v>
      </c>
      <c r="J92" s="237" t="s">
        <v>25</v>
      </c>
      <c r="K92" s="236" t="s">
        <v>21</v>
      </c>
      <c r="L92" s="238"/>
      <c r="M92" s="239"/>
    </row>
    <row r="93" spans="1:13" ht="15.75" customHeight="1" thickBot="1" x14ac:dyDescent="0.25">
      <c r="A93" s="248" t="s">
        <v>22</v>
      </c>
      <c r="B93" s="240" t="str">
        <f>VLOOKUP(1,'１×Ｗ'!B3:J3,4)</f>
        <v>杉浦</v>
      </c>
      <c r="C93" s="241" t="str">
        <f>VLOOKUP(1,'１×Ｗ'!B3:J3,5)</f>
        <v>舞依</v>
      </c>
      <c r="D93" s="240">
        <f>VLOOKUP(1,'１×Ｗ'!B3:J3,6)</f>
        <v>2</v>
      </c>
      <c r="E93" s="242"/>
      <c r="F93" s="232"/>
      <c r="H93" s="248" t="s">
        <v>22</v>
      </c>
      <c r="I93" s="240" t="str">
        <f>VLOOKUP(2,'１×Ｗ'!B4:J4,4)</f>
        <v>疋田</v>
      </c>
      <c r="J93" s="241" t="str">
        <f>VLOOKUP(2,'１×Ｗ'!B4:J4,5)</f>
        <v>優里</v>
      </c>
      <c r="K93" s="240">
        <f>VLOOKUP(2,'１×Ｗ'!B4:J4,6)</f>
        <v>2</v>
      </c>
      <c r="L93" s="242"/>
      <c r="M93" s="232"/>
    </row>
    <row r="94" spans="1:13" ht="15.75" customHeight="1" thickBot="1" x14ac:dyDescent="0.25"/>
    <row r="95" spans="1:13" ht="15.75" customHeight="1" thickBot="1" x14ac:dyDescent="0.25">
      <c r="A95" s="245" t="s">
        <v>368</v>
      </c>
      <c r="B95" s="606" t="str">
        <f>VLOOKUP(3,'１×Ｗ'!B5:J5,2)</f>
        <v>浜松大平台高校A</v>
      </c>
      <c r="C95" s="606" t="e">
        <f>IF(INDEX([1]選手登録!$A$3:$I$20,MATCH($A$9,[1]選手登録!$A$4:$A$20,),MATCH($B95,[1]選手登録!$A$3:$I$3,))&lt;&gt;"",INDEX([1]選手登録!$A$4:$I$20,MATCH($A$9,[1]選手登録!$A$4:$A$20,),MATCH($B95,[1]選手登録!$A$3:$I$3,)),"")</f>
        <v>#N/A</v>
      </c>
      <c r="D95" s="246" t="s">
        <v>19</v>
      </c>
      <c r="E95" s="607" t="str">
        <f>VLOOKUP(3,'１×Ｗ'!B5:J5,9)</f>
        <v>林高輝</v>
      </c>
      <c r="F95" s="608" t="e">
        <f>IF(INDEX([1]選手登録!$A$3:$I$20,MATCH($A$9,[1]選手登録!$A$4:$A$20,),MATCH($B95,[1]選手登録!$A$3:$I$3,))&lt;&gt;"",INDEX([1]選手登録!$A$4:$I$20,MATCH($A$9,[1]選手登録!$A$4:$A$20,),MATCH($B95,[1]選手登録!$A$3:$I$3,)),"")</f>
        <v>#N/A</v>
      </c>
      <c r="H95" s="245" t="s">
        <v>23</v>
      </c>
      <c r="I95" s="606" t="str">
        <f>VLOOKUP(4,'１×Ｗ'!B6:J6,2)</f>
        <v>浜松大平台高校B</v>
      </c>
      <c r="J95" s="606" t="e">
        <f>IF(INDEX([1]選手登録!$A$3:$I$20,MATCH($A$9,[1]選手登録!$A$4:$A$20,),MATCH($B95,[1]選手登録!$A$3:$I$3,))&lt;&gt;"",INDEX([1]選手登録!$A$4:$I$20,MATCH($A$9,[1]選手登録!$A$4:$A$20,),MATCH($B95,[1]選手登録!$A$3:$I$3,)),"")</f>
        <v>#N/A</v>
      </c>
      <c r="K95" s="246" t="s">
        <v>19</v>
      </c>
      <c r="L95" s="607" t="str">
        <f>VLOOKUP(4,'１×Ｗ'!B6:J6,9)</f>
        <v>林高輝</v>
      </c>
      <c r="M95" s="608" t="e">
        <f>IF(INDEX([1]選手登録!$A$3:$I$20,MATCH($A$9,[1]選手登録!$A$4:$A$20,),MATCH($B95,[1]選手登録!$A$3:$I$3,))&lt;&gt;"",INDEX([1]選手登録!$A$4:$I$20,MATCH($A$9,[1]選手登録!$A$4:$A$20,),MATCH($B95,[1]選手登録!$A$3:$I$3,)),"")</f>
        <v>#N/A</v>
      </c>
    </row>
    <row r="96" spans="1:13" s="243" customFormat="1" ht="15.75" customHeight="1" x14ac:dyDescent="0.2">
      <c r="A96" s="247" t="s">
        <v>20</v>
      </c>
      <c r="B96" s="236" t="s">
        <v>24</v>
      </c>
      <c r="C96" s="237" t="s">
        <v>25</v>
      </c>
      <c r="D96" s="236" t="s">
        <v>21</v>
      </c>
      <c r="E96" s="238"/>
      <c r="F96" s="239"/>
      <c r="G96" s="231"/>
      <c r="H96" s="247" t="s">
        <v>20</v>
      </c>
      <c r="I96" s="236" t="s">
        <v>24</v>
      </c>
      <c r="J96" s="237" t="s">
        <v>25</v>
      </c>
      <c r="K96" s="236" t="s">
        <v>21</v>
      </c>
      <c r="L96" s="238"/>
      <c r="M96" s="239"/>
    </row>
    <row r="97" spans="1:13" ht="15.75" customHeight="1" thickBot="1" x14ac:dyDescent="0.25">
      <c r="A97" s="248" t="s">
        <v>22</v>
      </c>
      <c r="B97" s="240" t="str">
        <f>VLOOKUP(3,'１×Ｗ'!B5:J5,4)</f>
        <v>関</v>
      </c>
      <c r="C97" s="241" t="str">
        <f>VLOOKUP(3,'１×Ｗ'!B5:J5,5)</f>
        <v>涼帆</v>
      </c>
      <c r="D97" s="240">
        <f>VLOOKUP(3,'１×Ｗ'!B5:J5,6)</f>
        <v>2</v>
      </c>
      <c r="E97" s="242"/>
      <c r="F97" s="232"/>
      <c r="H97" s="248" t="s">
        <v>22</v>
      </c>
      <c r="I97" s="240" t="str">
        <f>VLOOKUP(4,'１×Ｗ'!B6:J6,4)</f>
        <v>長谷川</v>
      </c>
      <c r="J97" s="241" t="str">
        <f>VLOOKUP(4,'１×Ｗ'!B6:J6,5)</f>
        <v>愛華</v>
      </c>
      <c r="K97" s="240">
        <f>VLOOKUP(4,'１×Ｗ'!B6:J6,6)</f>
        <v>2</v>
      </c>
      <c r="L97" s="242"/>
      <c r="M97" s="232"/>
    </row>
    <row r="98" spans="1:13" ht="15.75" customHeight="1" thickBot="1" x14ac:dyDescent="0.25"/>
    <row r="99" spans="1:13" ht="15.75" customHeight="1" thickBot="1" x14ac:dyDescent="0.25">
      <c r="A99" s="245" t="s">
        <v>23</v>
      </c>
      <c r="B99" s="606" t="str">
        <f>VLOOKUP(5,'１×Ｗ'!B7:J7,2)</f>
        <v>天竜高校A</v>
      </c>
      <c r="C99" s="606" t="e">
        <f>IF(INDEX([1]選手登録!$A$3:$I$20,MATCH($A$9,[1]選手登録!$A$4:$A$20,),MATCH($B99,[1]選手登録!$A$3:$I$3,))&lt;&gt;"",INDEX([1]選手登録!$A$4:$I$20,MATCH($A$9,[1]選手登録!$A$4:$A$20,),MATCH($B99,[1]選手登録!$A$3:$I$3,)),"")</f>
        <v>#N/A</v>
      </c>
      <c r="D99" s="246" t="s">
        <v>19</v>
      </c>
      <c r="E99" s="607" t="str">
        <f>VLOOKUP(5,'１×Ｗ'!B7:J7,9)</f>
        <v>向中野麗奈</v>
      </c>
      <c r="F99" s="608" t="e">
        <f>IF(INDEX([1]選手登録!$A$3:$I$20,MATCH($A$9,[1]選手登録!$A$4:$A$20,),MATCH($B99,[1]選手登録!$A$3:$I$3,))&lt;&gt;"",INDEX([1]選手登録!$A$4:$I$20,MATCH($A$9,[1]選手登録!$A$4:$A$20,),MATCH($B99,[1]選手登録!$A$3:$I$3,)),"")</f>
        <v>#N/A</v>
      </c>
      <c r="H99" s="245" t="s">
        <v>23</v>
      </c>
      <c r="I99" s="606" t="str">
        <f>VLOOKUP(6,'１×Ｗ'!B8:J8,2)</f>
        <v>天竜高校B</v>
      </c>
      <c r="J99" s="606" t="e">
        <f>IF(INDEX([1]選手登録!$A$3:$I$20,MATCH($A$9,[1]選手登録!$A$4:$A$20,),MATCH($B99,[1]選手登録!$A$3:$I$3,))&lt;&gt;"",INDEX([1]選手登録!$A$4:$I$20,MATCH($A$9,[1]選手登録!$A$4:$A$20,),MATCH($B99,[1]選手登録!$A$3:$I$3,)),"")</f>
        <v>#N/A</v>
      </c>
      <c r="K99" s="246" t="s">
        <v>19</v>
      </c>
      <c r="L99" s="607" t="str">
        <f>VLOOKUP(6,'１×Ｗ'!B8:J8,9)</f>
        <v>向中野麗奈</v>
      </c>
      <c r="M99" s="608" t="e">
        <f>IF(INDEX([1]選手登録!$A$3:$I$20,MATCH($A$9,[1]選手登録!$A$4:$A$20,),MATCH($B99,[1]選手登録!$A$3:$I$3,))&lt;&gt;"",INDEX([1]選手登録!$A$4:$I$20,MATCH($A$9,[1]選手登録!$A$4:$A$20,),MATCH($B99,[1]選手登録!$A$3:$I$3,)),"")</f>
        <v>#N/A</v>
      </c>
    </row>
    <row r="100" spans="1:13" ht="15.75" customHeight="1" x14ac:dyDescent="0.2">
      <c r="A100" s="249" t="s">
        <v>20</v>
      </c>
      <c r="B100" s="250" t="s">
        <v>24</v>
      </c>
      <c r="C100" s="251" t="s">
        <v>25</v>
      </c>
      <c r="D100" s="250" t="s">
        <v>21</v>
      </c>
      <c r="E100" s="238"/>
      <c r="F100" s="239"/>
      <c r="H100" s="247" t="s">
        <v>20</v>
      </c>
      <c r="I100" s="236" t="s">
        <v>24</v>
      </c>
      <c r="J100" s="237" t="s">
        <v>25</v>
      </c>
      <c r="K100" s="236" t="s">
        <v>21</v>
      </c>
      <c r="L100" s="238"/>
      <c r="M100" s="239"/>
    </row>
    <row r="101" spans="1:13" ht="15.75" customHeight="1" thickBot="1" x14ac:dyDescent="0.25">
      <c r="A101" s="248" t="s">
        <v>22</v>
      </c>
      <c r="B101" s="240" t="str">
        <f>VLOOKUP(5,'１×Ｗ'!B7:J7,4)</f>
        <v>乗松</v>
      </c>
      <c r="C101" s="241" t="str">
        <f>VLOOKUP(5,'１×Ｗ'!B7:J7,5)</f>
        <v>侑奈</v>
      </c>
      <c r="D101" s="240">
        <f>VLOOKUP(5,'１×Ｗ'!B7:J7,6)</f>
        <v>3</v>
      </c>
      <c r="E101" s="242"/>
      <c r="F101" s="232"/>
      <c r="H101" s="248" t="s">
        <v>22</v>
      </c>
      <c r="I101" s="240" t="str">
        <f>VLOOKUP(6,'１×Ｗ'!B8:J8,4)</f>
        <v>鈴木</v>
      </c>
      <c r="J101" s="241" t="str">
        <f>VLOOKUP(6,'１×Ｗ'!B8:J8,5)</f>
        <v>椋</v>
      </c>
      <c r="K101" s="240">
        <f>VLOOKUP(6,'１×Ｗ'!B8:J8,6)</f>
        <v>2</v>
      </c>
      <c r="L101" s="242"/>
      <c r="M101" s="232"/>
    </row>
    <row r="102" spans="1:13" ht="15.75" customHeight="1" thickBot="1" x14ac:dyDescent="0.25">
      <c r="D102" s="232"/>
      <c r="E102" s="232"/>
      <c r="F102" s="232"/>
    </row>
    <row r="103" spans="1:13" ht="15.75" customHeight="1" thickBot="1" x14ac:dyDescent="0.25">
      <c r="A103" s="245" t="s">
        <v>23</v>
      </c>
      <c r="B103" s="606" t="str">
        <f>VLOOKUP(7,'１×Ｗ'!B9:J9,2)</f>
        <v>天竜高校C</v>
      </c>
      <c r="C103" s="606" t="e">
        <f>IF(INDEX([1]選手登録!$A$3:$I$20,MATCH($A$9,[1]選手登録!$A$4:$A$20,),MATCH($B103,[1]選手登録!$A$3:$I$3,))&lt;&gt;"",INDEX([1]選手登録!$A$4:$I$20,MATCH($A$9,[1]選手登録!$A$4:$A$20,),MATCH($B103,[1]選手登録!$A$3:$I$3,)),"")</f>
        <v>#N/A</v>
      </c>
      <c r="D103" s="246" t="s">
        <v>19</v>
      </c>
      <c r="E103" s="607" t="str">
        <f>VLOOKUP(7,'１×Ｗ'!B9:J9,9)</f>
        <v>向中野麗奈</v>
      </c>
      <c r="F103" s="608" t="e">
        <f>IF(INDEX([1]選手登録!$A$3:$I$20,MATCH($A$9,[1]選手登録!$A$4:$A$20,),MATCH($B103,[1]選手登録!$A$3:$I$3,))&lt;&gt;"",INDEX([1]選手登録!$A$4:$I$20,MATCH($A$9,[1]選手登録!$A$4:$A$20,),MATCH($B103,[1]選手登録!$A$3:$I$3,)),"")</f>
        <v>#N/A</v>
      </c>
      <c r="H103" s="245" t="s">
        <v>23</v>
      </c>
      <c r="I103" s="606" t="str">
        <f>VLOOKUP(8,'１×Ｗ'!B10:J10,2)</f>
        <v>天竜高校D</v>
      </c>
      <c r="J103" s="606" t="e">
        <f>IF(INDEX([1]選手登録!$A$3:$I$20,MATCH($A$9,[1]選手登録!$A$4:$A$20,),MATCH($B103,[1]選手登録!$A$3:$I$3,))&lt;&gt;"",INDEX([1]選手登録!$A$4:$I$20,MATCH($A$9,[1]選手登録!$A$4:$A$20,),MATCH($B103,[1]選手登録!$A$3:$I$3,)),"")</f>
        <v>#N/A</v>
      </c>
      <c r="K103" s="246" t="s">
        <v>19</v>
      </c>
      <c r="L103" s="607" t="str">
        <f>VLOOKUP(8,'１×Ｗ'!B10:J10,9)</f>
        <v>向中野麗奈</v>
      </c>
      <c r="M103" s="608" t="e">
        <f>IF(INDEX([1]選手登録!$A$3:$I$20,MATCH($A$9,[1]選手登録!$A$4:$A$20,),MATCH($B103,[1]選手登録!$A$3:$I$3,))&lt;&gt;"",INDEX([1]選手登録!$A$4:$I$20,MATCH($A$9,[1]選手登録!$A$4:$A$20,),MATCH($B103,[1]選手登録!$A$3:$I$3,)),"")</f>
        <v>#N/A</v>
      </c>
    </row>
    <row r="104" spans="1:13" ht="15.75" customHeight="1" x14ac:dyDescent="0.2">
      <c r="A104" s="247" t="s">
        <v>20</v>
      </c>
      <c r="B104" s="236" t="s">
        <v>24</v>
      </c>
      <c r="C104" s="237" t="s">
        <v>25</v>
      </c>
      <c r="D104" s="236" t="s">
        <v>21</v>
      </c>
      <c r="E104" s="238"/>
      <c r="F104" s="239"/>
      <c r="H104" s="247" t="s">
        <v>20</v>
      </c>
      <c r="I104" s="236" t="s">
        <v>24</v>
      </c>
      <c r="J104" s="237" t="s">
        <v>25</v>
      </c>
      <c r="K104" s="236" t="s">
        <v>21</v>
      </c>
      <c r="L104" s="238"/>
      <c r="M104" s="239"/>
    </row>
    <row r="105" spans="1:13" ht="13.5" thickBot="1" x14ac:dyDescent="0.25">
      <c r="A105" s="248" t="s">
        <v>22</v>
      </c>
      <c r="B105" s="240" t="str">
        <f>VLOOKUP(7,'１×Ｗ'!B9:J9,4)</f>
        <v>伊藤</v>
      </c>
      <c r="C105" s="241" t="str">
        <f>VLOOKUP(7,'１×Ｗ'!B9:J9,5)</f>
        <v>菜歩</v>
      </c>
      <c r="D105" s="240">
        <f>VLOOKUP(7,'１×Ｗ'!B9:J9,6)</f>
        <v>2</v>
      </c>
      <c r="E105" s="242"/>
      <c r="F105" s="232"/>
      <c r="H105" s="248" t="s">
        <v>22</v>
      </c>
      <c r="I105" s="240" t="str">
        <f>VLOOKUP(8,'１×Ｗ'!B10:J10,4)</f>
        <v>吉田</v>
      </c>
      <c r="J105" s="241" t="str">
        <f>VLOOKUP(8,'１×Ｗ'!B10:J10,5)</f>
        <v>緋菜</v>
      </c>
      <c r="K105" s="240">
        <f>VLOOKUP(8,'１×Ｗ'!B10:J10,6)</f>
        <v>2</v>
      </c>
      <c r="L105" s="242"/>
      <c r="M105" s="232"/>
    </row>
    <row r="106" spans="1:13" ht="13.5" thickBot="1" x14ac:dyDescent="0.25">
      <c r="D106" s="232"/>
      <c r="E106" s="232"/>
      <c r="F106" s="232"/>
    </row>
    <row r="107" spans="1:13" ht="13.5" thickBot="1" x14ac:dyDescent="0.25">
      <c r="A107" s="245" t="s">
        <v>368</v>
      </c>
      <c r="B107" s="606" t="str">
        <f>VLOOKUP(9,'１×Ｗ'!B11:J11,2)</f>
        <v>沼津東高校A</v>
      </c>
      <c r="C107" s="606" t="e">
        <f>IF(INDEX([1]選手登録!$A$3:$I$20,MATCH($A$9,[1]選手登録!$A$4:$A$20,),MATCH($B107,[1]選手登録!$A$3:$I$3,))&lt;&gt;"",INDEX([1]選手登録!$A$4:$I$20,MATCH($A$9,[1]選手登録!$A$4:$A$20,),MATCH($B107,[1]選手登録!$A$3:$I$3,)),"")</f>
        <v>#N/A</v>
      </c>
      <c r="D107" s="246" t="s">
        <v>19</v>
      </c>
      <c r="E107" s="607" t="str">
        <f>VLOOKUP(9,'１×Ｗ'!B11:J11,9)</f>
        <v>萩原康治</v>
      </c>
      <c r="F107" s="608" t="e">
        <f>IF(INDEX([1]選手登録!$A$3:$I$20,MATCH($A$9,[1]選手登録!$A$4:$A$20,),MATCH($B107,[1]選手登録!$A$3:$I$3,))&lt;&gt;"",INDEX([1]選手登録!$A$4:$I$20,MATCH($A$9,[1]選手登録!$A$4:$A$20,),MATCH($B107,[1]選手登録!$A$3:$I$3,)),"")</f>
        <v>#N/A</v>
      </c>
      <c r="H107" s="245" t="s">
        <v>23</v>
      </c>
      <c r="I107" s="606" t="str">
        <f>VLOOKUP(10,'１×Ｗ'!B12:J12,2)</f>
        <v>沼津東高校B</v>
      </c>
      <c r="J107" s="606" t="e">
        <f>IF(INDEX([1]選手登録!$A$3:$I$20,MATCH($A$9,[1]選手登録!$A$4:$A$20,),MATCH($B107,[1]選手登録!$A$3:$I$3,))&lt;&gt;"",INDEX([1]選手登録!$A$4:$I$20,MATCH($A$9,[1]選手登録!$A$4:$A$20,),MATCH($B107,[1]選手登録!$A$3:$I$3,)),"")</f>
        <v>#N/A</v>
      </c>
      <c r="K107" s="246" t="s">
        <v>19</v>
      </c>
      <c r="L107" s="607" t="str">
        <f>VLOOKUP(10,'１×Ｗ'!B12:J12,9)</f>
        <v>杉本由佳子</v>
      </c>
      <c r="M107" s="608" t="e">
        <f>IF(INDEX([1]選手登録!$A$3:$I$20,MATCH($A$9,[1]選手登録!$A$4:$A$20,),MATCH($B107,[1]選手登録!$A$3:$I$3,))&lt;&gt;"",INDEX([1]選手登録!$A$4:$I$20,MATCH($A$9,[1]選手登録!$A$4:$A$20,),MATCH($B107,[1]選手登録!$A$3:$I$3,)),"")</f>
        <v>#N/A</v>
      </c>
    </row>
    <row r="108" spans="1:13" ht="13" x14ac:dyDescent="0.2">
      <c r="A108" s="247" t="s">
        <v>20</v>
      </c>
      <c r="B108" s="236" t="s">
        <v>24</v>
      </c>
      <c r="C108" s="237" t="s">
        <v>25</v>
      </c>
      <c r="D108" s="236" t="s">
        <v>21</v>
      </c>
      <c r="E108" s="238"/>
      <c r="F108" s="239"/>
      <c r="H108" s="247" t="s">
        <v>20</v>
      </c>
      <c r="I108" s="236" t="s">
        <v>24</v>
      </c>
      <c r="J108" s="237" t="s">
        <v>25</v>
      </c>
      <c r="K108" s="236" t="s">
        <v>21</v>
      </c>
      <c r="L108" s="238"/>
      <c r="M108" s="239"/>
    </row>
    <row r="109" spans="1:13" ht="13.5" thickBot="1" x14ac:dyDescent="0.25">
      <c r="A109" s="248" t="s">
        <v>22</v>
      </c>
      <c r="B109" s="240" t="str">
        <f>VLOOKUP(9,'１×Ｗ'!B11:J11,4)</f>
        <v>秋山</v>
      </c>
      <c r="C109" s="241" t="str">
        <f>VLOOKUP(9,'１×Ｗ'!B11:J11,5)</f>
        <v>静那</v>
      </c>
      <c r="D109" s="240">
        <f>VLOOKUP(9,'１×Ｗ'!B11:J11,6)</f>
        <v>3</v>
      </c>
      <c r="E109" s="242"/>
      <c r="F109" s="232"/>
      <c r="H109" s="248" t="s">
        <v>22</v>
      </c>
      <c r="I109" s="240" t="str">
        <f>VLOOKUP(10,'１×Ｗ'!B12:J12,4)</f>
        <v>藤井</v>
      </c>
      <c r="J109" s="241" t="str">
        <f>VLOOKUP(10,'１×Ｗ'!B12:J12,5)</f>
        <v>凜</v>
      </c>
      <c r="K109" s="240">
        <f>VLOOKUP(10,'１×Ｗ'!B12:J12,6)</f>
        <v>3</v>
      </c>
      <c r="L109" s="242"/>
      <c r="M109" s="232"/>
    </row>
    <row r="110" spans="1:13" ht="13.5" thickBot="1" x14ac:dyDescent="0.25">
      <c r="A110" s="232"/>
      <c r="B110" s="232"/>
      <c r="D110" s="232"/>
      <c r="E110" s="232"/>
      <c r="F110" s="232"/>
      <c r="H110" s="232"/>
      <c r="I110" s="232"/>
      <c r="K110" s="232"/>
      <c r="L110" s="232"/>
      <c r="M110" s="232"/>
    </row>
    <row r="111" spans="1:13" ht="13.5" thickBot="1" x14ac:dyDescent="0.25">
      <c r="A111" s="245" t="s">
        <v>23</v>
      </c>
      <c r="B111" s="606" t="str">
        <f>VLOOKUP(11,'１×Ｗ'!B13:J13,2)</f>
        <v>沼津東高校C</v>
      </c>
      <c r="C111" s="606" t="e">
        <f>IF(INDEX([1]選手登録!$A$3:$I$20,MATCH($A$9,[1]選手登録!$A$4:$A$20,),MATCH($B111,[1]選手登録!$A$3:$I$3,))&lt;&gt;"",INDEX([1]選手登録!$A$4:$I$20,MATCH($A$9,[1]選手登録!$A$4:$A$20,),MATCH($B111,[1]選手登録!$A$3:$I$3,)),"")</f>
        <v>#N/A</v>
      </c>
      <c r="D111" s="246" t="s">
        <v>19</v>
      </c>
      <c r="E111" s="607" t="str">
        <f>VLOOKUP(11,'１×Ｗ'!B13:J13,9)</f>
        <v>亀山圭治</v>
      </c>
      <c r="F111" s="608" t="e">
        <f>IF(INDEX([1]選手登録!$A$3:$I$20,MATCH($A$9,[1]選手登録!$A$4:$A$20,),MATCH($B111,[1]選手登録!$A$3:$I$3,))&lt;&gt;"",INDEX([1]選手登録!$A$4:$I$20,MATCH($A$9,[1]選手登録!$A$4:$A$20,),MATCH($B111,[1]選手登録!$A$3:$I$3,)),"")</f>
        <v>#N/A</v>
      </c>
      <c r="H111" s="245" t="s">
        <v>23</v>
      </c>
      <c r="I111" s="606" t="str">
        <f>VLOOKUP(12,'１×Ｗ'!B14:J14,2)</f>
        <v>浜松北高校</v>
      </c>
      <c r="J111" s="606" t="e">
        <f>IF(INDEX([1]選手登録!$A$3:$I$20,MATCH($A$9,[1]選手登録!$A$4:$A$20,),MATCH($B111,[1]選手登録!$A$3:$I$3,))&lt;&gt;"",INDEX([1]選手登録!$A$4:$I$20,MATCH($A$9,[1]選手登録!$A$4:$A$20,),MATCH($B111,[1]選手登録!$A$3:$I$3,)),"")</f>
        <v>#N/A</v>
      </c>
      <c r="K111" s="246" t="s">
        <v>19</v>
      </c>
      <c r="L111" s="607" t="str">
        <f>VLOOKUP(12,'１×Ｗ'!B14:J14,9)</f>
        <v>槌屋健太</v>
      </c>
      <c r="M111" s="608" t="e">
        <f>IF(INDEX([1]選手登録!$A$3:$I$20,MATCH($A$9,[1]選手登録!$A$4:$A$20,),MATCH($B111,[1]選手登録!$A$3:$I$3,))&lt;&gt;"",INDEX([1]選手登録!$A$4:$I$20,MATCH($A$9,[1]選手登録!$A$4:$A$20,),MATCH($B111,[1]選手登録!$A$3:$I$3,)),"")</f>
        <v>#N/A</v>
      </c>
    </row>
    <row r="112" spans="1:13" ht="13" x14ac:dyDescent="0.2">
      <c r="A112" s="247" t="s">
        <v>20</v>
      </c>
      <c r="B112" s="236" t="s">
        <v>24</v>
      </c>
      <c r="C112" s="237" t="s">
        <v>25</v>
      </c>
      <c r="D112" s="236" t="s">
        <v>21</v>
      </c>
      <c r="E112" s="238"/>
      <c r="F112" s="239"/>
      <c r="H112" s="247" t="s">
        <v>20</v>
      </c>
      <c r="I112" s="236" t="s">
        <v>24</v>
      </c>
      <c r="J112" s="237" t="s">
        <v>25</v>
      </c>
      <c r="K112" s="236" t="s">
        <v>21</v>
      </c>
      <c r="L112" s="238"/>
      <c r="M112" s="239"/>
    </row>
    <row r="113" spans="1:13" ht="13.5" thickBot="1" x14ac:dyDescent="0.25">
      <c r="A113" s="248" t="s">
        <v>22</v>
      </c>
      <c r="B113" s="240" t="str">
        <f>VLOOKUP(11,'１×Ｗ'!B13:J13,4)</f>
        <v>山本</v>
      </c>
      <c r="C113" s="241" t="str">
        <f>VLOOKUP(11,'１×Ｗ'!B13:J13,5)</f>
        <v>美羽</v>
      </c>
      <c r="D113" s="240">
        <f>VLOOKUP(11,'１×Ｗ'!B13:J13,6)</f>
        <v>3</v>
      </c>
      <c r="E113" s="242"/>
      <c r="F113" s="232"/>
      <c r="H113" s="248" t="s">
        <v>22</v>
      </c>
      <c r="I113" s="240" t="str">
        <f>VLOOKUP(12,'１×Ｗ'!B14:J14,4)</f>
        <v>安藝</v>
      </c>
      <c r="J113" s="241" t="str">
        <f>VLOOKUP(12,'１×Ｗ'!B14:J14,5)</f>
        <v>日向</v>
      </c>
      <c r="K113" s="240">
        <f>VLOOKUP(12,'１×Ｗ'!B14:J14,6)</f>
        <v>3</v>
      </c>
      <c r="L113" s="242"/>
      <c r="M113" s="232"/>
    </row>
    <row r="114" spans="1:13" ht="13.5" thickBot="1" x14ac:dyDescent="0.25">
      <c r="A114" s="232"/>
      <c r="B114" s="232"/>
      <c r="D114" s="232"/>
      <c r="E114" s="232"/>
      <c r="F114" s="232"/>
      <c r="H114" s="232"/>
      <c r="I114" s="232"/>
      <c r="K114" s="232"/>
      <c r="L114" s="232"/>
      <c r="M114" s="232"/>
    </row>
    <row r="115" spans="1:13" ht="13.5" thickBot="1" x14ac:dyDescent="0.25">
      <c r="A115" s="245" t="s">
        <v>368</v>
      </c>
      <c r="B115" s="606" t="str">
        <f>VLOOKUP(13,'１×Ｗ'!B15:J15,2)</f>
        <v>浜松西高校</v>
      </c>
      <c r="C115" s="606" t="e">
        <f>IF(INDEX([1]選手登録!$A$3:$I$20,MATCH($A$9,[1]選手登録!$A$4:$A$20,),MATCH($B115,[1]選手登録!$A$3:$I$3,))&lt;&gt;"",INDEX([1]選手登録!$A$4:$I$20,MATCH($A$9,[1]選手登録!$A$4:$A$20,),MATCH($B115,[1]選手登録!$A$3:$I$3,)),"")</f>
        <v>#N/A</v>
      </c>
      <c r="D115" s="246" t="s">
        <v>19</v>
      </c>
      <c r="E115" s="607" t="str">
        <f>VLOOKUP(13,'１×Ｗ'!B15:J15,9)</f>
        <v>上西智紀</v>
      </c>
      <c r="F115" s="608" t="e">
        <f>IF(INDEX([1]選手登録!$A$3:$I$20,MATCH($A$9,[1]選手登録!$A$4:$A$20,),MATCH($B115,[1]選手登録!$A$3:$I$3,))&lt;&gt;"",INDEX([1]選手登録!$A$4:$I$20,MATCH($A$9,[1]選手登録!$A$4:$A$20,),MATCH($B115,[1]選手登録!$A$3:$I$3,)),"")</f>
        <v>#N/A</v>
      </c>
      <c r="H115" s="245" t="s">
        <v>23</v>
      </c>
      <c r="I115" s="606" t="str">
        <f>VLOOKUP(14,'１×Ｗ'!B16:J16,2)</f>
        <v>湖西高校A</v>
      </c>
      <c r="J115" s="606" t="e">
        <f>IF(INDEX([1]選手登録!$A$3:$I$20,MATCH($A$9,[1]選手登録!$A$4:$A$20,),MATCH($B115,[1]選手登録!$A$3:$I$3,))&lt;&gt;"",INDEX([1]選手登録!$A$4:$I$20,MATCH($A$9,[1]選手登録!$A$4:$A$20,),MATCH($B115,[1]選手登録!$A$3:$I$3,)),"")</f>
        <v>#N/A</v>
      </c>
      <c r="K115" s="246" t="s">
        <v>19</v>
      </c>
      <c r="L115" s="607" t="str">
        <f>VLOOKUP(14,'１×Ｗ'!B16:J16,9)</f>
        <v>鈴木研也</v>
      </c>
      <c r="M115" s="608" t="e">
        <f>IF(INDEX([1]選手登録!$A$3:$I$20,MATCH($A$9,[1]選手登録!$A$4:$A$20,),MATCH($B115,[1]選手登録!$A$3:$I$3,))&lt;&gt;"",INDEX([1]選手登録!$A$4:$I$20,MATCH($A$9,[1]選手登録!$A$4:$A$20,),MATCH($B115,[1]選手登録!$A$3:$I$3,)),"")</f>
        <v>#N/A</v>
      </c>
    </row>
    <row r="116" spans="1:13" ht="13" x14ac:dyDescent="0.2">
      <c r="A116" s="247" t="s">
        <v>20</v>
      </c>
      <c r="B116" s="236" t="s">
        <v>24</v>
      </c>
      <c r="C116" s="237" t="s">
        <v>25</v>
      </c>
      <c r="D116" s="236" t="s">
        <v>21</v>
      </c>
      <c r="E116" s="238"/>
      <c r="F116" s="239"/>
      <c r="H116" s="247" t="s">
        <v>20</v>
      </c>
      <c r="I116" s="236" t="s">
        <v>24</v>
      </c>
      <c r="J116" s="237" t="s">
        <v>25</v>
      </c>
      <c r="K116" s="236" t="s">
        <v>21</v>
      </c>
      <c r="L116" s="238"/>
      <c r="M116" s="239"/>
    </row>
    <row r="117" spans="1:13" ht="13.5" thickBot="1" x14ac:dyDescent="0.25">
      <c r="A117" s="248" t="s">
        <v>22</v>
      </c>
      <c r="B117" s="240" t="str">
        <f>VLOOKUP(13,'１×Ｗ'!B15:J15,4)</f>
        <v>宮澤</v>
      </c>
      <c r="C117" s="241" t="str">
        <f>VLOOKUP(13,'１×Ｗ'!B15:J15,5)</f>
        <v>心菜</v>
      </c>
      <c r="D117" s="240">
        <f>VLOOKUP(13,'１×Ｗ'!B15:J15,6)</f>
        <v>2</v>
      </c>
      <c r="E117" s="242"/>
      <c r="F117" s="232"/>
      <c r="H117" s="248" t="s">
        <v>22</v>
      </c>
      <c r="I117" s="240" t="str">
        <f>VLOOKUP(14,'１×Ｗ'!B16:J16,4)</f>
        <v>九里</v>
      </c>
      <c r="J117" s="241" t="str">
        <f>VLOOKUP(14,'１×Ｗ'!B16:J16,5)</f>
        <v>美羽</v>
      </c>
      <c r="K117" s="240">
        <f>VLOOKUP(14,'１×Ｗ'!B16:J16,6)</f>
        <v>3</v>
      </c>
      <c r="L117" s="242"/>
      <c r="M117" s="232"/>
    </row>
    <row r="118" spans="1:13" ht="13.5" thickBot="1" x14ac:dyDescent="0.25">
      <c r="A118" s="232"/>
      <c r="B118" s="232"/>
      <c r="D118" s="232"/>
      <c r="E118" s="232"/>
      <c r="F118" s="232"/>
      <c r="H118" s="232"/>
      <c r="I118" s="232"/>
      <c r="K118" s="232"/>
      <c r="L118" s="232"/>
      <c r="M118" s="232"/>
    </row>
    <row r="119" spans="1:13" ht="13.5" thickBot="1" x14ac:dyDescent="0.25">
      <c r="A119" s="245" t="s">
        <v>23</v>
      </c>
      <c r="B119" s="606" t="str">
        <f>VLOOKUP(15,'１×Ｗ'!B17:J17,2)</f>
        <v>湖西高校B</v>
      </c>
      <c r="C119" s="606" t="e">
        <f>IF(INDEX([1]選手登録!$A$3:$I$20,MATCH($A$9,[1]選手登録!$A$4:$A$20,),MATCH($B119,[1]選手登録!$A$3:$I$3,))&lt;&gt;"",INDEX([1]選手登録!$A$4:$I$20,MATCH($A$9,[1]選手登録!$A$4:$A$20,),MATCH($B119,[1]選手登録!$A$3:$I$3,)),"")</f>
        <v>#N/A</v>
      </c>
      <c r="D119" s="246" t="s">
        <v>19</v>
      </c>
      <c r="E119" s="607" t="str">
        <f>VLOOKUP(15,'１×Ｗ'!B17:J17,9)</f>
        <v>鈴木研也</v>
      </c>
      <c r="F119" s="608" t="e">
        <f>IF(INDEX([1]選手登録!$A$3:$I$20,MATCH($A$9,[1]選手登録!$A$4:$A$20,),MATCH($B119,[1]選手登録!$A$3:$I$3,))&lt;&gt;"",INDEX([1]選手登録!$A$4:$I$20,MATCH($A$9,[1]選手登録!$A$4:$A$20,),MATCH($B119,[1]選手登録!$A$3:$I$3,)),"")</f>
        <v>#N/A</v>
      </c>
      <c r="H119" s="245" t="s">
        <v>23</v>
      </c>
      <c r="I119" s="606">
        <f>VLOOKUP(16,'１×Ｗ'!B18:J18,2)</f>
        <v>0</v>
      </c>
      <c r="J119" s="606" t="e">
        <f>IF(INDEX([1]選手登録!$A$3:$I$20,MATCH($A$9,[1]選手登録!$A$4:$A$20,),MATCH($B119,[1]選手登録!$A$3:$I$3,))&lt;&gt;"",INDEX([1]選手登録!$A$4:$I$20,MATCH($A$9,[1]選手登録!$A$4:$A$20,),MATCH($B119,[1]選手登録!$A$3:$I$3,)),"")</f>
        <v>#N/A</v>
      </c>
      <c r="K119" s="246" t="s">
        <v>19</v>
      </c>
      <c r="L119" s="607">
        <f>VLOOKUP(16,'１×Ｗ'!B18:J18,9)</f>
        <v>0</v>
      </c>
      <c r="M119" s="608" t="e">
        <f>IF(INDEX([1]選手登録!$A$3:$I$20,MATCH($A$9,[1]選手登録!$A$4:$A$20,),MATCH($B119,[1]選手登録!$A$3:$I$3,))&lt;&gt;"",INDEX([1]選手登録!$A$4:$I$20,MATCH($A$9,[1]選手登録!$A$4:$A$20,),MATCH($B119,[1]選手登録!$A$3:$I$3,)),"")</f>
        <v>#N/A</v>
      </c>
    </row>
    <row r="120" spans="1:13" ht="13" x14ac:dyDescent="0.2">
      <c r="A120" s="247" t="s">
        <v>20</v>
      </c>
      <c r="B120" s="236" t="s">
        <v>24</v>
      </c>
      <c r="C120" s="237" t="s">
        <v>25</v>
      </c>
      <c r="D120" s="236" t="s">
        <v>21</v>
      </c>
      <c r="E120" s="238"/>
      <c r="F120" s="239"/>
      <c r="H120" s="247" t="s">
        <v>20</v>
      </c>
      <c r="I120" s="236" t="s">
        <v>24</v>
      </c>
      <c r="J120" s="237" t="s">
        <v>25</v>
      </c>
      <c r="K120" s="236" t="s">
        <v>21</v>
      </c>
      <c r="L120" s="238"/>
      <c r="M120" s="239"/>
    </row>
    <row r="121" spans="1:13" ht="13.5" thickBot="1" x14ac:dyDescent="0.25">
      <c r="A121" s="248" t="s">
        <v>22</v>
      </c>
      <c r="B121" s="240" t="str">
        <f>VLOOKUP(15,'１×Ｗ'!B17:J17,4)</f>
        <v>土方</v>
      </c>
      <c r="C121" s="241" t="str">
        <f>VLOOKUP(15,'１×Ｗ'!B17:J17,5)</f>
        <v>結貴</v>
      </c>
      <c r="D121" s="240">
        <f>VLOOKUP(15,'１×Ｗ'!B17:J17,6)</f>
        <v>3</v>
      </c>
      <c r="E121" s="242"/>
      <c r="F121" s="232"/>
      <c r="H121" s="248" t="s">
        <v>22</v>
      </c>
      <c r="I121" s="240">
        <f>VLOOKUP(16,'１×Ｗ'!B18:J18,4)</f>
        <v>0</v>
      </c>
      <c r="J121" s="241">
        <f>VLOOKUP(16,'１×Ｗ'!B18:J18,5)</f>
        <v>0</v>
      </c>
      <c r="K121" s="240">
        <f>VLOOKUP(16,'１×Ｗ'!B18:J18,6)</f>
        <v>0</v>
      </c>
      <c r="L121" s="242"/>
      <c r="M121" s="232"/>
    </row>
    <row r="122" spans="1:13" ht="13" x14ac:dyDescent="0.2">
      <c r="A122" s="232"/>
      <c r="B122" s="232"/>
      <c r="D122" s="232"/>
      <c r="E122" s="232"/>
      <c r="F122" s="232"/>
      <c r="H122" s="232"/>
      <c r="I122" s="232"/>
      <c r="K122" s="232"/>
      <c r="L122" s="232"/>
      <c r="M122" s="232"/>
    </row>
    <row r="123" spans="1:13" ht="13.5" hidden="1" thickBot="1" x14ac:dyDescent="0.25">
      <c r="A123" s="245" t="s">
        <v>23</v>
      </c>
      <c r="B123" s="606">
        <f>VLOOKUP(17,'１×Ｗ'!B19:J19,2)</f>
        <v>0</v>
      </c>
      <c r="C123" s="606" t="e">
        <f>IF(INDEX([1]選手登録!$A$3:$I$20,MATCH($A$9,[1]選手登録!$A$4:$A$20,),MATCH($B123,[1]選手登録!$A$3:$I$3,))&lt;&gt;"",INDEX([1]選手登録!$A$4:$I$20,MATCH($A$9,[1]選手登録!$A$4:$A$20,),MATCH($B123,[1]選手登録!$A$3:$I$3,)),"")</f>
        <v>#N/A</v>
      </c>
      <c r="D123" s="246" t="s">
        <v>19</v>
      </c>
      <c r="E123" s="607">
        <f>VLOOKUP(17,'１×Ｗ'!B19:J19,9)</f>
        <v>0</v>
      </c>
      <c r="F123" s="608" t="e">
        <f>IF(INDEX([1]選手登録!$A$3:$I$20,MATCH($A$9,[1]選手登録!$A$4:$A$20,),MATCH($B123,[1]選手登録!$A$3:$I$3,))&lt;&gt;"",INDEX([1]選手登録!$A$4:$I$20,MATCH($A$9,[1]選手登録!$A$4:$A$20,),MATCH($B123,[1]選手登録!$A$3:$I$3,)),"")</f>
        <v>#N/A</v>
      </c>
      <c r="H123" s="245" t="s">
        <v>23</v>
      </c>
      <c r="I123" s="606">
        <f>VLOOKUP(18,'１×Ｗ'!B20:J20,2)</f>
        <v>0</v>
      </c>
      <c r="J123" s="606" t="e">
        <f>IF(INDEX([1]選手登録!$A$3:$I$20,MATCH($A$9,[1]選手登録!$A$4:$A$20,),MATCH($B123,[1]選手登録!$A$3:$I$3,))&lt;&gt;"",INDEX([1]選手登録!$A$4:$I$20,MATCH($A$9,[1]選手登録!$A$4:$A$20,),MATCH($B123,[1]選手登録!$A$3:$I$3,)),"")</f>
        <v>#N/A</v>
      </c>
      <c r="K123" s="246" t="s">
        <v>19</v>
      </c>
      <c r="L123" s="607">
        <f>VLOOKUP(18,'１×Ｗ'!B20:J20,9)</f>
        <v>0</v>
      </c>
      <c r="M123" s="608" t="e">
        <f>IF(INDEX([1]選手登録!$A$3:$I$20,MATCH($A$9,[1]選手登録!$A$4:$A$20,),MATCH($B123,[1]選手登録!$A$3:$I$3,))&lt;&gt;"",INDEX([1]選手登録!$A$4:$I$20,MATCH($A$9,[1]選手登録!$A$4:$A$20,),MATCH($B123,[1]選手登録!$A$3:$I$3,)),"")</f>
        <v>#N/A</v>
      </c>
    </row>
    <row r="124" spans="1:13" ht="13" hidden="1" x14ac:dyDescent="0.2">
      <c r="A124" s="247" t="s">
        <v>20</v>
      </c>
      <c r="B124" s="236" t="s">
        <v>24</v>
      </c>
      <c r="C124" s="237" t="s">
        <v>25</v>
      </c>
      <c r="D124" s="236" t="s">
        <v>21</v>
      </c>
      <c r="E124" s="238"/>
      <c r="F124" s="239"/>
      <c r="H124" s="247" t="s">
        <v>20</v>
      </c>
      <c r="I124" s="236" t="s">
        <v>24</v>
      </c>
      <c r="J124" s="237" t="s">
        <v>25</v>
      </c>
      <c r="K124" s="236" t="s">
        <v>21</v>
      </c>
      <c r="L124" s="238"/>
      <c r="M124" s="239"/>
    </row>
    <row r="125" spans="1:13" ht="13.5" hidden="1" thickBot="1" x14ac:dyDescent="0.25">
      <c r="A125" s="248" t="s">
        <v>22</v>
      </c>
      <c r="B125" s="240">
        <f>VLOOKUP(17,'１×Ｗ'!B19:J19,4)</f>
        <v>0</v>
      </c>
      <c r="C125" s="241">
        <f>VLOOKUP(17,'１×Ｗ'!B19:J19,5)</f>
        <v>0</v>
      </c>
      <c r="D125" s="240">
        <f>VLOOKUP(17,'１×Ｗ'!B19:J19,6)</f>
        <v>0</v>
      </c>
      <c r="E125" s="242"/>
      <c r="F125" s="232"/>
      <c r="H125" s="248" t="s">
        <v>22</v>
      </c>
      <c r="I125" s="240">
        <f>VLOOKUP(18,'１×Ｗ'!B20:J20,4)</f>
        <v>0</v>
      </c>
      <c r="J125" s="241">
        <f>VLOOKUP(18,'１×Ｗ'!B20:J20,5)</f>
        <v>0</v>
      </c>
      <c r="K125" s="240">
        <f>VLOOKUP(18,'１×Ｗ'!B20:J20,6)</f>
        <v>0</v>
      </c>
      <c r="L125" s="242"/>
      <c r="M125" s="232"/>
    </row>
    <row r="126" spans="1:13" ht="13.5" hidden="1" thickBot="1" x14ac:dyDescent="0.25">
      <c r="A126" s="232"/>
      <c r="B126" s="232"/>
      <c r="D126" s="232"/>
      <c r="E126" s="232"/>
      <c r="F126" s="232"/>
      <c r="H126" s="232"/>
      <c r="I126" s="232"/>
      <c r="K126" s="232"/>
      <c r="L126" s="232"/>
      <c r="M126" s="232"/>
    </row>
    <row r="127" spans="1:13" ht="13.5" hidden="1" thickBot="1" x14ac:dyDescent="0.25">
      <c r="A127" s="245" t="s">
        <v>23</v>
      </c>
      <c r="B127" s="606">
        <f>VLOOKUP(19,'１×Ｗ'!B21:J21,2)</f>
        <v>0</v>
      </c>
      <c r="C127" s="606" t="e">
        <f>IF(INDEX([1]選手登録!$A$3:$I$20,MATCH($A$9,[1]選手登録!$A$4:$A$20,),MATCH($B127,[1]選手登録!$A$3:$I$3,))&lt;&gt;"",INDEX([1]選手登録!$A$4:$I$20,MATCH($A$9,[1]選手登録!$A$4:$A$20,),MATCH($B127,[1]選手登録!$A$3:$I$3,)),"")</f>
        <v>#N/A</v>
      </c>
      <c r="D127" s="246" t="s">
        <v>19</v>
      </c>
      <c r="E127" s="607">
        <f>VLOOKUP(19,'１×Ｗ'!B21:J21,9)</f>
        <v>0</v>
      </c>
      <c r="F127" s="608" t="e">
        <f>IF(INDEX([1]選手登録!$A$3:$I$20,MATCH($A$9,[1]選手登録!$A$4:$A$20,),MATCH($B127,[1]選手登録!$A$3:$I$3,))&lt;&gt;"",INDEX([1]選手登録!$A$4:$I$20,MATCH($A$9,[1]選手登録!$A$4:$A$20,),MATCH($B127,[1]選手登録!$A$3:$I$3,)),"")</f>
        <v>#N/A</v>
      </c>
      <c r="H127" s="245" t="s">
        <v>23</v>
      </c>
      <c r="I127" s="606">
        <f>VLOOKUP(20,'１×Ｗ'!B22:J22,2)</f>
        <v>0</v>
      </c>
      <c r="J127" s="606" t="e">
        <f>IF(INDEX([1]選手登録!$A$3:$I$20,MATCH($A$9,[1]選手登録!$A$4:$A$20,),MATCH($B127,[1]選手登録!$A$3:$I$3,))&lt;&gt;"",INDEX([1]選手登録!$A$4:$I$20,MATCH($A$9,[1]選手登録!$A$4:$A$20,),MATCH($B127,[1]選手登録!$A$3:$I$3,)),"")</f>
        <v>#N/A</v>
      </c>
      <c r="K127" s="246" t="s">
        <v>19</v>
      </c>
      <c r="L127" s="607">
        <f>VLOOKUP(20,'１×Ｗ'!B22:J22,9)</f>
        <v>0</v>
      </c>
      <c r="M127" s="608" t="e">
        <f>IF(INDEX([1]選手登録!$A$3:$I$20,MATCH($A$9,[1]選手登録!$A$4:$A$20,),MATCH($B127,[1]選手登録!$A$3:$I$3,))&lt;&gt;"",INDEX([1]選手登録!$A$4:$I$20,MATCH($A$9,[1]選手登録!$A$4:$A$20,),MATCH($B127,[1]選手登録!$A$3:$I$3,)),"")</f>
        <v>#N/A</v>
      </c>
    </row>
    <row r="128" spans="1:13" ht="13" hidden="1" x14ac:dyDescent="0.2">
      <c r="A128" s="247" t="s">
        <v>20</v>
      </c>
      <c r="B128" s="236" t="s">
        <v>24</v>
      </c>
      <c r="C128" s="237" t="s">
        <v>25</v>
      </c>
      <c r="D128" s="236" t="s">
        <v>21</v>
      </c>
      <c r="E128" s="238"/>
      <c r="F128" s="239"/>
      <c r="H128" s="247" t="s">
        <v>20</v>
      </c>
      <c r="I128" s="236" t="s">
        <v>24</v>
      </c>
      <c r="J128" s="237" t="s">
        <v>25</v>
      </c>
      <c r="K128" s="236" t="s">
        <v>21</v>
      </c>
      <c r="L128" s="238"/>
      <c r="M128" s="239"/>
    </row>
    <row r="129" spans="1:13" ht="13.5" hidden="1" thickBot="1" x14ac:dyDescent="0.25">
      <c r="A129" s="248" t="s">
        <v>22</v>
      </c>
      <c r="B129" s="240">
        <f>VLOOKUP(19,'１×Ｗ'!B21:J21,4)</f>
        <v>0</v>
      </c>
      <c r="C129" s="241">
        <f>VLOOKUP(19,'１×Ｗ'!B21:J21,5)</f>
        <v>0</v>
      </c>
      <c r="D129" s="240">
        <f>VLOOKUP(19,'１×Ｗ'!B21:J21,6)</f>
        <v>0</v>
      </c>
      <c r="E129" s="242"/>
      <c r="F129" s="232"/>
      <c r="H129" s="248" t="s">
        <v>22</v>
      </c>
      <c r="I129" s="240">
        <f>VLOOKUP(20,'１×Ｗ'!B22:J22,4)</f>
        <v>0</v>
      </c>
      <c r="J129" s="241">
        <f>VLOOKUP(20,'１×Ｗ'!B22:J22,5)</f>
        <v>0</v>
      </c>
      <c r="K129" s="240">
        <f>VLOOKUP(20,'１×Ｗ'!B22:J22,6)</f>
        <v>0</v>
      </c>
      <c r="L129" s="242"/>
      <c r="M129" s="232"/>
    </row>
    <row r="130" spans="1:13" ht="13.5" hidden="1" thickBot="1" x14ac:dyDescent="0.25">
      <c r="A130" s="232"/>
      <c r="B130" s="232"/>
      <c r="D130" s="232"/>
      <c r="E130" s="232"/>
      <c r="F130" s="232"/>
      <c r="H130" s="232"/>
      <c r="I130" s="232"/>
      <c r="K130" s="232"/>
      <c r="L130" s="232"/>
      <c r="M130" s="232"/>
    </row>
    <row r="131" spans="1:13" ht="13.5" hidden="1" thickBot="1" x14ac:dyDescent="0.25">
      <c r="A131" s="245" t="s">
        <v>23</v>
      </c>
      <c r="B131" s="606">
        <f>VLOOKUP(21,'１×Ｗ'!B23:J23,2)</f>
        <v>0</v>
      </c>
      <c r="C131" s="606" t="e">
        <f>IF(INDEX([1]選手登録!$A$3:$I$20,MATCH($A$9,[1]選手登録!$A$4:$A$20,),MATCH($B131,[1]選手登録!$A$3:$I$3,))&lt;&gt;"",INDEX([1]選手登録!$A$4:$I$20,MATCH($A$9,[1]選手登録!$A$4:$A$20,),MATCH($B131,[1]選手登録!$A$3:$I$3,)),"")</f>
        <v>#N/A</v>
      </c>
      <c r="D131" s="246" t="s">
        <v>19</v>
      </c>
      <c r="E131" s="607">
        <f>VLOOKUP(21,'１×Ｗ'!B23:J23,9)</f>
        <v>0</v>
      </c>
      <c r="F131" s="608" t="e">
        <f>IF(INDEX([1]選手登録!$A$3:$I$20,MATCH($A$9,[1]選手登録!$A$4:$A$20,),MATCH($B131,[1]選手登録!$A$3:$I$3,))&lt;&gt;"",INDEX([1]選手登録!$A$4:$I$20,MATCH($A$9,[1]選手登録!$A$4:$A$20,),MATCH($B131,[1]選手登録!$A$3:$I$3,)),"")</f>
        <v>#N/A</v>
      </c>
      <c r="H131" s="245" t="s">
        <v>23</v>
      </c>
      <c r="I131" s="606">
        <f>VLOOKUP(22,'１×Ｗ'!B24:J24,2)</f>
        <v>0</v>
      </c>
      <c r="J131" s="606" t="e">
        <f>IF(INDEX([1]選手登録!$A$3:$I$20,MATCH($A$9,[1]選手登録!$A$4:$A$20,),MATCH($B131,[1]選手登録!$A$3:$I$3,))&lt;&gt;"",INDEX([1]選手登録!$A$4:$I$20,MATCH($A$9,[1]選手登録!$A$4:$A$20,),MATCH($B131,[1]選手登録!$A$3:$I$3,)),"")</f>
        <v>#N/A</v>
      </c>
      <c r="K131" s="246" t="s">
        <v>19</v>
      </c>
      <c r="L131" s="607">
        <f>VLOOKUP(22,'１×Ｗ'!B24:J24,9)</f>
        <v>0</v>
      </c>
      <c r="M131" s="608" t="e">
        <f>IF(INDEX([1]選手登録!$A$3:$I$20,MATCH($A$9,[1]選手登録!$A$4:$A$20,),MATCH($B131,[1]選手登録!$A$3:$I$3,))&lt;&gt;"",INDEX([1]選手登録!$A$4:$I$20,MATCH($A$9,[1]選手登録!$A$4:$A$20,),MATCH($B131,[1]選手登録!$A$3:$I$3,)),"")</f>
        <v>#N/A</v>
      </c>
    </row>
    <row r="132" spans="1:13" ht="13" hidden="1" x14ac:dyDescent="0.2">
      <c r="A132" s="247" t="s">
        <v>20</v>
      </c>
      <c r="B132" s="236" t="s">
        <v>24</v>
      </c>
      <c r="C132" s="237" t="s">
        <v>25</v>
      </c>
      <c r="D132" s="236" t="s">
        <v>21</v>
      </c>
      <c r="E132" s="238"/>
      <c r="F132" s="239"/>
      <c r="H132" s="247" t="s">
        <v>20</v>
      </c>
      <c r="I132" s="236" t="s">
        <v>24</v>
      </c>
      <c r="J132" s="237" t="s">
        <v>25</v>
      </c>
      <c r="K132" s="236" t="s">
        <v>21</v>
      </c>
      <c r="L132" s="238"/>
      <c r="M132" s="239"/>
    </row>
    <row r="133" spans="1:13" ht="13.5" hidden="1" thickBot="1" x14ac:dyDescent="0.25">
      <c r="A133" s="248" t="s">
        <v>22</v>
      </c>
      <c r="B133" s="240">
        <f>VLOOKUP(21,'１×Ｗ'!B23:J23,4)</f>
        <v>0</v>
      </c>
      <c r="C133" s="241">
        <f>VLOOKUP(21,'１×Ｗ'!B23:J23,5)</f>
        <v>0</v>
      </c>
      <c r="D133" s="240">
        <f>VLOOKUP(21,'１×Ｗ'!B23:J23,6)</f>
        <v>0</v>
      </c>
      <c r="E133" s="242"/>
      <c r="F133" s="232"/>
      <c r="H133" s="248" t="s">
        <v>22</v>
      </c>
      <c r="I133" s="240">
        <f>VLOOKUP(22,'１×Ｗ'!B24:J24,4)</f>
        <v>0</v>
      </c>
      <c r="J133" s="241">
        <f>VLOOKUP(22,'１×Ｗ'!B24:J24,5)</f>
        <v>0</v>
      </c>
      <c r="K133" s="240">
        <f>VLOOKUP(22,'１×Ｗ'!B24:J24,6)</f>
        <v>0</v>
      </c>
      <c r="L133" s="242"/>
      <c r="M133" s="232"/>
    </row>
    <row r="134" spans="1:13" ht="13" x14ac:dyDescent="0.2">
      <c r="A134" s="232"/>
      <c r="B134" s="232"/>
      <c r="D134" s="232"/>
      <c r="E134" s="232"/>
      <c r="F134" s="232"/>
      <c r="H134" s="232"/>
      <c r="I134" s="232"/>
      <c r="K134" s="232"/>
      <c r="L134" s="232"/>
      <c r="M134" s="232"/>
    </row>
    <row r="135" spans="1:13" ht="16.5" x14ac:dyDescent="0.2">
      <c r="A135" s="255" t="s">
        <v>369</v>
      </c>
      <c r="B135" s="232"/>
      <c r="D135" s="232"/>
      <c r="E135" s="232"/>
      <c r="F135" s="232"/>
      <c r="H135" s="232"/>
      <c r="I135" s="232"/>
      <c r="K135" s="232"/>
      <c r="L135" s="232"/>
      <c r="M135" s="232"/>
    </row>
    <row r="136" spans="1:13" ht="15.75" customHeight="1" thickBot="1" x14ac:dyDescent="0.25">
      <c r="A136" s="232"/>
      <c r="B136" s="232"/>
      <c r="D136" s="232"/>
      <c r="E136" s="232"/>
      <c r="F136" s="232"/>
      <c r="H136" s="232"/>
      <c r="I136" s="232"/>
      <c r="K136" s="232"/>
      <c r="L136" s="232"/>
      <c r="M136" s="232"/>
    </row>
    <row r="137" spans="1:13" ht="15.75" customHeight="1" thickBot="1" x14ac:dyDescent="0.25">
      <c r="A137" s="245" t="s">
        <v>23</v>
      </c>
      <c r="B137" s="606" t="str">
        <f>VLOOKUP(7,'２×Ｍ'!C3:K3,2)</f>
        <v>新居高校A</v>
      </c>
      <c r="C137" s="606"/>
      <c r="D137" s="246" t="s">
        <v>19</v>
      </c>
      <c r="E137" s="607" t="str">
        <f>VLOOKUP(7,'２×Ｍ'!C3:K3,9)</f>
        <v>越智千紗都</v>
      </c>
      <c r="F137" s="608"/>
      <c r="H137" s="245" t="s">
        <v>23</v>
      </c>
      <c r="I137" s="606" t="str">
        <f>VLOOKUP(10,'２×Ｍ'!C6:K6,2)</f>
        <v>新居高校B</v>
      </c>
      <c r="J137" s="606"/>
      <c r="K137" s="246" t="s">
        <v>19</v>
      </c>
      <c r="L137" s="607" t="str">
        <f>VLOOKUP(10,'２×Ｍ'!C6:K6,9)</f>
        <v>越智千紗都</v>
      </c>
      <c r="M137" s="608"/>
    </row>
    <row r="138" spans="1:13" ht="15.75" customHeight="1" x14ac:dyDescent="0.2">
      <c r="A138" s="249" t="s">
        <v>20</v>
      </c>
      <c r="B138" s="250" t="s">
        <v>24</v>
      </c>
      <c r="C138" s="251" t="s">
        <v>25</v>
      </c>
      <c r="D138" s="250" t="s">
        <v>21</v>
      </c>
      <c r="E138" s="238"/>
      <c r="F138" s="239"/>
      <c r="H138" s="249" t="s">
        <v>373</v>
      </c>
      <c r="I138" s="250" t="s">
        <v>24</v>
      </c>
      <c r="J138" s="251" t="s">
        <v>25</v>
      </c>
      <c r="K138" s="250" t="s">
        <v>21</v>
      </c>
      <c r="L138" s="238"/>
      <c r="M138" s="239"/>
    </row>
    <row r="139" spans="1:13" ht="15.75" customHeight="1" x14ac:dyDescent="0.2">
      <c r="A139" s="256" t="s">
        <v>22</v>
      </c>
      <c r="B139" s="257" t="str">
        <f>VLOOKUP(7,'２×Ｍ'!C3:K3,4)</f>
        <v>和田</v>
      </c>
      <c r="C139" s="258" t="str">
        <f>VLOOKUP(7,'２×Ｍ'!C3:K3,5)</f>
        <v>潤誠</v>
      </c>
      <c r="D139" s="257">
        <f>VLOOKUP(7,'２×Ｍ'!C3:K3,6)</f>
        <v>2</v>
      </c>
      <c r="E139" s="242"/>
      <c r="F139" s="232"/>
      <c r="H139" s="256" t="s">
        <v>22</v>
      </c>
      <c r="I139" s="257" t="str">
        <f>VLOOKUP(11,'２×Ｍ'!C6:K6,4)</f>
        <v>今部</v>
      </c>
      <c r="J139" s="258" t="str">
        <f>VLOOKUP(10,'２×Ｍ'!C6:K6,5)</f>
        <v>弥月</v>
      </c>
      <c r="K139" s="257">
        <f>VLOOKUP(10,'２×Ｍ'!C6:K6,6)</f>
        <v>3</v>
      </c>
      <c r="L139" s="242"/>
      <c r="M139" s="232"/>
    </row>
    <row r="140" spans="1:13" ht="15.75" customHeight="1" x14ac:dyDescent="0.2">
      <c r="A140" s="256" t="s">
        <v>27</v>
      </c>
      <c r="B140" s="257" t="str">
        <f>VLOOKUP(8,'２×Ｍ'!C4:K4,4)</f>
        <v>平山</v>
      </c>
      <c r="C140" s="258" t="str">
        <f>VLOOKUP(8,'２×Ｍ'!C4:K4,5)</f>
        <v>和義</v>
      </c>
      <c r="D140" s="257">
        <f>VLOOKUP(8,'２×Ｍ'!C4:K4,6)</f>
        <v>2</v>
      </c>
      <c r="E140" s="242"/>
      <c r="F140" s="232"/>
      <c r="G140" s="232"/>
      <c r="H140" s="256" t="s">
        <v>27</v>
      </c>
      <c r="I140" s="257" t="str">
        <f>VLOOKUP(11,'２×Ｍ'!C7:K7,4)</f>
        <v>辻岡</v>
      </c>
      <c r="J140" s="258" t="str">
        <f>VLOOKUP(11,'２×Ｍ'!C7:K7,5)</f>
        <v>大門</v>
      </c>
      <c r="K140" s="257">
        <f>VLOOKUP(11,'２×Ｍ'!C7:K7,6)</f>
        <v>3</v>
      </c>
      <c r="L140" s="242"/>
      <c r="M140" s="232"/>
    </row>
    <row r="141" spans="1:13" ht="15.75" customHeight="1" thickBot="1" x14ac:dyDescent="0.25">
      <c r="A141" s="248" t="s">
        <v>28</v>
      </c>
      <c r="B141" s="240" t="str">
        <f>VLOOKUP(9,'２×Ｍ'!C5:K5,4)</f>
        <v>椛島</v>
      </c>
      <c r="C141" s="241" t="str">
        <f>VLOOKUP(9,'２×Ｍ'!C5:K5,5)</f>
        <v>令煌</v>
      </c>
      <c r="D141" s="240">
        <f>VLOOKUP(9,'２×Ｍ'!C5:K5,6)</f>
        <v>2</v>
      </c>
      <c r="E141" s="242"/>
      <c r="F141" s="232"/>
      <c r="H141" s="248" t="s">
        <v>28</v>
      </c>
      <c r="I141" s="240" t="str">
        <f>VLOOKUP(12,'２×Ｍ'!C8:K8,4)</f>
        <v>魚住</v>
      </c>
      <c r="J141" s="241" t="str">
        <f>VLOOKUP(12,'２×Ｍ'!C8:K8,5)</f>
        <v>拓夢</v>
      </c>
      <c r="K141" s="240">
        <f>VLOOKUP(12,'２×Ｍ'!C8:K8,6)</f>
        <v>3</v>
      </c>
      <c r="L141" s="242"/>
      <c r="M141" s="232"/>
    </row>
    <row r="142" spans="1:13" ht="15.75" customHeight="1" thickBot="1" x14ac:dyDescent="0.25"/>
    <row r="143" spans="1:13" ht="15.75" customHeight="1" thickBot="1" x14ac:dyDescent="0.25">
      <c r="A143" s="245" t="s">
        <v>23</v>
      </c>
      <c r="B143" s="606" t="str">
        <f>VLOOKUP(13,'２×Ｍ'!C9:L9,2)</f>
        <v>新居高校C</v>
      </c>
      <c r="C143" s="606"/>
      <c r="D143" s="246" t="s">
        <v>19</v>
      </c>
      <c r="E143" s="607" t="str">
        <f>VLOOKUP(13,'２×Ｍ'!C9:L9,9)</f>
        <v>越智千紗都</v>
      </c>
      <c r="F143" s="608"/>
      <c r="H143" s="245" t="s">
        <v>23</v>
      </c>
      <c r="I143" s="606" t="str">
        <f>VLOOKUP(16,'２×Ｍ'!C12:K12,2)</f>
        <v>新居高校D</v>
      </c>
      <c r="J143" s="606"/>
      <c r="K143" s="246" t="s">
        <v>19</v>
      </c>
      <c r="L143" s="607" t="str">
        <f>VLOOKUP(16,'２×Ｍ'!C12:K12,9)</f>
        <v>越智千紗都</v>
      </c>
      <c r="M143" s="608"/>
    </row>
    <row r="144" spans="1:13" ht="15.75" customHeight="1" x14ac:dyDescent="0.2">
      <c r="A144" s="249" t="s">
        <v>20</v>
      </c>
      <c r="B144" s="250" t="s">
        <v>24</v>
      </c>
      <c r="C144" s="251" t="s">
        <v>25</v>
      </c>
      <c r="D144" s="250" t="s">
        <v>21</v>
      </c>
      <c r="E144" s="238"/>
      <c r="F144" s="239"/>
      <c r="H144" s="249" t="s">
        <v>20</v>
      </c>
      <c r="I144" s="250" t="s">
        <v>24</v>
      </c>
      <c r="J144" s="251" t="s">
        <v>25</v>
      </c>
      <c r="K144" s="250" t="s">
        <v>21</v>
      </c>
      <c r="L144" s="238"/>
      <c r="M144" s="239"/>
    </row>
    <row r="145" spans="1:13" ht="15.75" customHeight="1" x14ac:dyDescent="0.2">
      <c r="A145" s="256" t="s">
        <v>22</v>
      </c>
      <c r="B145" s="257" t="str">
        <f>VLOOKUP(13,'２×Ｍ'!C9:L9,4)</f>
        <v>横原</v>
      </c>
      <c r="C145" s="258" t="str">
        <f>VLOOKUP(13,'２×Ｍ'!C9:L9,5)</f>
        <v>広翔</v>
      </c>
      <c r="D145" s="257">
        <f>VLOOKUP(13,'２×Ｍ'!C9:L9,6)</f>
        <v>2</v>
      </c>
      <c r="E145" s="242"/>
      <c r="F145" s="232"/>
      <c r="H145" s="256" t="s">
        <v>22</v>
      </c>
      <c r="I145" s="257" t="str">
        <f>VLOOKUP(16,'２×Ｍ'!C12:K12,4)</f>
        <v>齋藤</v>
      </c>
      <c r="J145" s="258" t="str">
        <f>VLOOKUP(16,'２×Ｍ'!C12:K12,5)</f>
        <v>滉晟</v>
      </c>
      <c r="K145" s="257">
        <f>VLOOKUP(16,'２×Ｍ'!C12:K12,6)</f>
        <v>2</v>
      </c>
      <c r="L145" s="242"/>
      <c r="M145" s="232"/>
    </row>
    <row r="146" spans="1:13" ht="15.75" customHeight="1" x14ac:dyDescent="0.2">
      <c r="A146" s="256" t="s">
        <v>27</v>
      </c>
      <c r="B146" s="257" t="str">
        <f>VLOOKUP(14,'２×Ｍ'!C10:K10,4)</f>
        <v>藤下</v>
      </c>
      <c r="C146" s="258" t="str">
        <f>VLOOKUP(14,'２×Ｍ'!C10:K10,5)</f>
        <v>幸大</v>
      </c>
      <c r="D146" s="257">
        <f>VLOOKUP(14,'２×Ｍ'!C10:K10,6)</f>
        <v>2</v>
      </c>
      <c r="E146" s="242"/>
      <c r="F146" s="232"/>
      <c r="G146" s="232"/>
      <c r="H146" s="256" t="s">
        <v>27</v>
      </c>
      <c r="I146" s="257" t="str">
        <f>VLOOKUP(17,'２×Ｍ'!C13:K13,4)</f>
        <v>ガウデンシオ</v>
      </c>
      <c r="J146" s="258" t="str">
        <f>VLOOKUP(17,'２×Ｍ'!C13:K13,5)</f>
        <v>マサユキ</v>
      </c>
      <c r="K146" s="257">
        <f>VLOOKUP(17,'２×Ｍ'!C13:K13,6)</f>
        <v>2</v>
      </c>
      <c r="L146" s="242"/>
      <c r="M146" s="232"/>
    </row>
    <row r="147" spans="1:13" ht="15.75" customHeight="1" thickBot="1" x14ac:dyDescent="0.25">
      <c r="A147" s="248" t="s">
        <v>28</v>
      </c>
      <c r="B147" s="240" t="str">
        <f>VLOOKUP(15,'２×Ｍ'!C11:K11,4)</f>
        <v>アレバロ</v>
      </c>
      <c r="C147" s="241" t="str">
        <f>VLOOKUP(15,'２×Ｍ'!C11:K11,5)</f>
        <v>ケイスケ</v>
      </c>
      <c r="D147" s="240">
        <f>VLOOKUP(15,'２×Ｍ'!C11:K11,6)</f>
        <v>2</v>
      </c>
      <c r="E147" s="242"/>
      <c r="F147" s="232"/>
      <c r="H147" s="248" t="s">
        <v>28</v>
      </c>
      <c r="I147" s="240" t="str">
        <f>VLOOKUP(18,'２×Ｍ'!C14:K14,4)</f>
        <v>青木</v>
      </c>
      <c r="J147" s="241" t="str">
        <f>VLOOKUP(18,'２×Ｍ'!C14:K14,5)</f>
        <v>唯翔</v>
      </c>
      <c r="K147" s="240">
        <f>VLOOKUP(18,'２×Ｍ'!C14:K14,6)</f>
        <v>2</v>
      </c>
      <c r="L147" s="242"/>
      <c r="M147" s="232"/>
    </row>
    <row r="148" spans="1:13" ht="15.75" customHeight="1" thickBot="1" x14ac:dyDescent="0.25"/>
    <row r="149" spans="1:13" ht="15.75" customHeight="1" thickBot="1" x14ac:dyDescent="0.25">
      <c r="A149" s="245" t="s">
        <v>23</v>
      </c>
      <c r="B149" s="606" t="str">
        <f>VLOOKUP(19,'２×Ｍ'!C15:K15,2)</f>
        <v>浜松湖南高校A</v>
      </c>
      <c r="C149" s="606"/>
      <c r="D149" s="246" t="s">
        <v>19</v>
      </c>
      <c r="E149" s="607" t="str">
        <f>VLOOKUP(19,'２×Ｍ'!C15:K15,9)</f>
        <v>山崎武敏</v>
      </c>
      <c r="F149" s="608"/>
      <c r="H149" s="245" t="s">
        <v>23</v>
      </c>
      <c r="I149" s="606" t="str">
        <f>VLOOKUP(22,'２×Ｍ'!C18:K18,2)</f>
        <v>浜松湖南高校B</v>
      </c>
      <c r="J149" s="606"/>
      <c r="K149" s="246" t="s">
        <v>19</v>
      </c>
      <c r="L149" s="607" t="str">
        <f>VLOOKUP(22,'２×Ｍ'!C18:K18,9)</f>
        <v>山崎武敏</v>
      </c>
      <c r="M149" s="608"/>
    </row>
    <row r="150" spans="1:13" ht="15.75" customHeight="1" x14ac:dyDescent="0.2">
      <c r="A150" s="249" t="s">
        <v>20</v>
      </c>
      <c r="B150" s="250" t="s">
        <v>24</v>
      </c>
      <c r="C150" s="251" t="s">
        <v>25</v>
      </c>
      <c r="D150" s="250" t="s">
        <v>21</v>
      </c>
      <c r="E150" s="238"/>
      <c r="F150" s="239"/>
      <c r="H150" s="249" t="s">
        <v>20</v>
      </c>
      <c r="I150" s="250" t="s">
        <v>24</v>
      </c>
      <c r="J150" s="251" t="s">
        <v>25</v>
      </c>
      <c r="K150" s="250" t="s">
        <v>21</v>
      </c>
      <c r="L150" s="238"/>
      <c r="M150" s="239"/>
    </row>
    <row r="151" spans="1:13" ht="15.75" customHeight="1" x14ac:dyDescent="0.2">
      <c r="A151" s="256" t="s">
        <v>22</v>
      </c>
      <c r="B151" s="257" t="str">
        <f>VLOOKUP(19,'２×Ｍ'!C15:K15,4)</f>
        <v>斎藤</v>
      </c>
      <c r="C151" s="258" t="str">
        <f>VLOOKUP(19,'２×Ｍ'!C15:K15,5)</f>
        <v>大輔</v>
      </c>
      <c r="D151" s="257">
        <f>VLOOKUP(19,'２×Ｍ'!C15:K15,6)</f>
        <v>3</v>
      </c>
      <c r="E151" s="242"/>
      <c r="F151" s="232"/>
      <c r="H151" s="256" t="s">
        <v>22</v>
      </c>
      <c r="I151" s="257" t="str">
        <f>VLOOKUP(22,'２×Ｍ'!C18:K18,4)</f>
        <v>河合</v>
      </c>
      <c r="J151" s="258" t="str">
        <f>VLOOKUP(22,'２×Ｍ'!C18:K18,5)</f>
        <v>鳳汰</v>
      </c>
      <c r="K151" s="257">
        <f>VLOOKUP(22,'２×Ｍ'!C18:K18,6)</f>
        <v>3</v>
      </c>
      <c r="L151" s="242"/>
      <c r="M151" s="232"/>
    </row>
    <row r="152" spans="1:13" ht="15.75" customHeight="1" x14ac:dyDescent="0.2">
      <c r="A152" s="256" t="s">
        <v>27</v>
      </c>
      <c r="B152" s="257" t="str">
        <f>VLOOKUP(20,'２×Ｍ'!C16:K16,4)</f>
        <v>星山</v>
      </c>
      <c r="C152" s="258" t="str">
        <f>VLOOKUP(20,'２×Ｍ'!C16:K16,5)</f>
        <v>将士</v>
      </c>
      <c r="D152" s="257">
        <f>VLOOKUP(20,'２×Ｍ'!C16:K16,6)</f>
        <v>3</v>
      </c>
      <c r="E152" s="242"/>
      <c r="F152" s="232"/>
      <c r="G152" s="232"/>
      <c r="H152" s="256" t="s">
        <v>27</v>
      </c>
      <c r="I152" s="257" t="str">
        <f>VLOOKUP(23,'２×Ｍ'!C19:K19,4)</f>
        <v>高津</v>
      </c>
      <c r="J152" s="258" t="str">
        <f>VLOOKUP(23,'２×Ｍ'!C19:K19,5)</f>
        <v>幹</v>
      </c>
      <c r="K152" s="257">
        <f>VLOOKUP(23,'２×Ｍ'!C19:K19,6)</f>
        <v>3</v>
      </c>
      <c r="L152" s="242"/>
      <c r="M152" s="232"/>
    </row>
    <row r="153" spans="1:13" ht="15.75" customHeight="1" thickBot="1" x14ac:dyDescent="0.25">
      <c r="A153" s="248" t="s">
        <v>28</v>
      </c>
      <c r="B153" s="240" t="str">
        <f>VLOOKUP(21,'２×Ｍ'!C17:K17,4)</f>
        <v>蓑部</v>
      </c>
      <c r="C153" s="241" t="str">
        <f>VLOOKUP(21,'２×Ｍ'!C17:K17,5)</f>
        <v>匠之介</v>
      </c>
      <c r="D153" s="240">
        <f>VLOOKUP(21,'２×Ｍ'!C17:K17,6)</f>
        <v>3</v>
      </c>
      <c r="E153" s="242"/>
      <c r="F153" s="232"/>
      <c r="H153" s="248" t="s">
        <v>28</v>
      </c>
      <c r="I153" s="240" t="str">
        <f>VLOOKUP(24,'２×Ｍ'!C20:K20,4)</f>
        <v>米澤</v>
      </c>
      <c r="J153" s="241" t="str">
        <f>VLOOKUP(24,'２×Ｍ'!C20:K20,5)</f>
        <v>涼斗</v>
      </c>
      <c r="K153" s="240">
        <f>VLOOKUP(24,'２×Ｍ'!C20:K20,6)</f>
        <v>3</v>
      </c>
      <c r="L153" s="242"/>
      <c r="M153" s="232"/>
    </row>
    <row r="154" spans="1:13" ht="15.75" customHeight="1" thickBot="1" x14ac:dyDescent="0.25"/>
    <row r="155" spans="1:13" ht="15.75" customHeight="1" thickBot="1" x14ac:dyDescent="0.25">
      <c r="A155" s="245" t="s">
        <v>23</v>
      </c>
      <c r="B155" s="606" t="str">
        <f>VLOOKUP(25,'２×Ｍ'!C21:K21,2)</f>
        <v>浜松湖南高校C</v>
      </c>
      <c r="C155" s="606"/>
      <c r="D155" s="246" t="s">
        <v>19</v>
      </c>
      <c r="E155" s="607" t="str">
        <f>VLOOKUP(25,'２×Ｍ'!C21:K21,9)</f>
        <v>山崎武敏</v>
      </c>
      <c r="F155" s="608"/>
      <c r="H155" s="245" t="s">
        <v>23</v>
      </c>
      <c r="I155" s="606" t="str">
        <f>VLOOKUP(28,'２×Ｍ'!C24:K24,2)</f>
        <v>天竜高校A</v>
      </c>
      <c r="J155" s="606"/>
      <c r="K155" s="246" t="s">
        <v>19</v>
      </c>
      <c r="L155" s="607" t="str">
        <f>VLOOKUP(28,'２×Ｍ'!C24:K24,9)</f>
        <v>金原遼</v>
      </c>
      <c r="M155" s="608"/>
    </row>
    <row r="156" spans="1:13" ht="15.75" customHeight="1" x14ac:dyDescent="0.2">
      <c r="A156" s="249" t="s">
        <v>20</v>
      </c>
      <c r="B156" s="250" t="s">
        <v>24</v>
      </c>
      <c r="C156" s="251" t="s">
        <v>25</v>
      </c>
      <c r="D156" s="250" t="s">
        <v>21</v>
      </c>
      <c r="E156" s="238"/>
      <c r="F156" s="239"/>
      <c r="H156" s="249" t="s">
        <v>20</v>
      </c>
      <c r="I156" s="250" t="s">
        <v>24</v>
      </c>
      <c r="J156" s="251" t="s">
        <v>25</v>
      </c>
      <c r="K156" s="250" t="s">
        <v>21</v>
      </c>
      <c r="L156" s="238"/>
      <c r="M156" s="239"/>
    </row>
    <row r="157" spans="1:13" ht="15.75" customHeight="1" x14ac:dyDescent="0.2">
      <c r="A157" s="256" t="s">
        <v>22</v>
      </c>
      <c r="B157" s="257" t="str">
        <f>VLOOKUP(25,'２×Ｍ'!C21:K21,4)</f>
        <v>猪原</v>
      </c>
      <c r="C157" s="258" t="str">
        <f>VLOOKUP(25,'２×Ｍ'!C21:K21,5)</f>
        <v>瑞生</v>
      </c>
      <c r="D157" s="257">
        <f>VLOOKUP(25,'２×Ｍ'!C21:K21,6)</f>
        <v>3</v>
      </c>
      <c r="E157" s="242"/>
      <c r="F157" s="232"/>
      <c r="H157" s="256" t="s">
        <v>22</v>
      </c>
      <c r="I157" s="257" t="str">
        <f>VLOOKUP(28,'２×Ｍ'!C24:K24,4)</f>
        <v>磯部</v>
      </c>
      <c r="J157" s="258" t="str">
        <f>VLOOKUP(28,'２×Ｍ'!C24:K24,5)</f>
        <v>蓮</v>
      </c>
      <c r="K157" s="257">
        <f>VLOOKUP(28,'２×Ｍ'!C24:K24,6)</f>
        <v>2</v>
      </c>
      <c r="L157" s="242"/>
      <c r="M157" s="232"/>
    </row>
    <row r="158" spans="1:13" ht="15.75" customHeight="1" x14ac:dyDescent="0.2">
      <c r="A158" s="256" t="s">
        <v>27</v>
      </c>
      <c r="B158" s="257" t="str">
        <f>VLOOKUP(26,'２×Ｍ'!C22:K22,4)</f>
        <v>山崎</v>
      </c>
      <c r="C158" s="258" t="str">
        <f>VLOOKUP(26,'２×Ｍ'!C22:K22,5)</f>
        <v>凌生</v>
      </c>
      <c r="D158" s="257">
        <f>VLOOKUP(26,'２×Ｍ'!C22:K22,6)</f>
        <v>3</v>
      </c>
      <c r="E158" s="242"/>
      <c r="F158" s="232"/>
      <c r="G158" s="232"/>
      <c r="H158" s="256" t="s">
        <v>27</v>
      </c>
      <c r="I158" s="257" t="str">
        <f>VLOOKUP(29,'２×Ｍ'!C25:K25,4)</f>
        <v>南澤</v>
      </c>
      <c r="J158" s="258" t="str">
        <f>VLOOKUP(29,'２×Ｍ'!C25:K25,5)</f>
        <v>幸太郎</v>
      </c>
      <c r="K158" s="257">
        <f>VLOOKUP(29,'２×Ｍ'!C25:K25,6)</f>
        <v>2</v>
      </c>
      <c r="L158" s="242"/>
      <c r="M158" s="232"/>
    </row>
    <row r="159" spans="1:13" ht="15.75" customHeight="1" thickBot="1" x14ac:dyDescent="0.25">
      <c r="A159" s="248" t="s">
        <v>28</v>
      </c>
      <c r="B159" s="240" t="str">
        <f>VLOOKUP(27,'２×Ｍ'!C23:K23,4)</f>
        <v>内藤</v>
      </c>
      <c r="C159" s="241" t="str">
        <f>VLOOKUP(27,'２×Ｍ'!C23:K23,5)</f>
        <v>洋平</v>
      </c>
      <c r="D159" s="240">
        <f>VLOOKUP(27,'２×Ｍ'!C23:K23,6)</f>
        <v>3</v>
      </c>
      <c r="E159" s="242"/>
      <c r="F159" s="232"/>
      <c r="H159" s="248" t="s">
        <v>28</v>
      </c>
      <c r="I159" s="240">
        <f>VLOOKUP(30,'２×Ｍ'!C26:K26,4)</f>
        <v>0</v>
      </c>
      <c r="J159" s="241">
        <f>VLOOKUP(30,'２×Ｍ'!C26:K26,5)</f>
        <v>0</v>
      </c>
      <c r="K159" s="240">
        <f>VLOOKUP(30,'２×Ｍ'!C26:K26,6)</f>
        <v>0</v>
      </c>
      <c r="L159" s="242"/>
      <c r="M159" s="232"/>
    </row>
    <row r="160" spans="1:13" ht="15.75" customHeight="1" thickBot="1" x14ac:dyDescent="0.25"/>
    <row r="161" spans="1:13" ht="15.75" customHeight="1" thickBot="1" x14ac:dyDescent="0.25">
      <c r="A161" s="245" t="s">
        <v>23</v>
      </c>
      <c r="B161" s="606" t="str">
        <f>VLOOKUP(31,'２×Ｍ'!C27:K27,2)</f>
        <v>天竜高校B</v>
      </c>
      <c r="C161" s="606"/>
      <c r="D161" s="246" t="s">
        <v>19</v>
      </c>
      <c r="E161" s="607" t="str">
        <f>VLOOKUP(31,'２×Ｍ'!C27:K27,9)</f>
        <v>金原遼</v>
      </c>
      <c r="F161" s="608"/>
      <c r="H161" s="245" t="s">
        <v>23</v>
      </c>
      <c r="I161" s="606" t="str">
        <f>VLOOKUP(34,'２×Ｍ'!C30:K30,2)</f>
        <v>沼津工業高校</v>
      </c>
      <c r="J161" s="606"/>
      <c r="K161" s="246" t="s">
        <v>19</v>
      </c>
      <c r="L161" s="607" t="str">
        <f>VLOOKUP(34,'２×Ｍ'!C30:K30,9)</f>
        <v>堀本小奈津</v>
      </c>
      <c r="M161" s="608"/>
    </row>
    <row r="162" spans="1:13" ht="15.75" customHeight="1" x14ac:dyDescent="0.2">
      <c r="A162" s="249" t="s">
        <v>20</v>
      </c>
      <c r="B162" s="250" t="s">
        <v>24</v>
      </c>
      <c r="C162" s="251" t="s">
        <v>25</v>
      </c>
      <c r="D162" s="250" t="s">
        <v>21</v>
      </c>
      <c r="E162" s="238"/>
      <c r="F162" s="239"/>
      <c r="H162" s="249" t="s">
        <v>20</v>
      </c>
      <c r="I162" s="250" t="s">
        <v>24</v>
      </c>
      <c r="J162" s="251" t="s">
        <v>25</v>
      </c>
      <c r="K162" s="250" t="s">
        <v>21</v>
      </c>
      <c r="L162" s="238"/>
      <c r="M162" s="239"/>
    </row>
    <row r="163" spans="1:13" ht="15.75" customHeight="1" x14ac:dyDescent="0.2">
      <c r="A163" s="256" t="s">
        <v>22</v>
      </c>
      <c r="B163" s="257" t="str">
        <f>VLOOKUP(31,'２×Ｍ'!C27:K27,4)</f>
        <v>平山</v>
      </c>
      <c r="C163" s="258" t="str">
        <f>VLOOKUP(31,'２×Ｍ'!C27:K27,5)</f>
        <v>生喜</v>
      </c>
      <c r="D163" s="257">
        <f>VLOOKUP(31,'２×Ｍ'!C27:K27,6)</f>
        <v>2</v>
      </c>
      <c r="E163" s="242"/>
      <c r="F163" s="232"/>
      <c r="H163" s="256" t="s">
        <v>22</v>
      </c>
      <c r="I163" s="257" t="str">
        <f>VLOOKUP(34,'２×Ｍ'!C30:K30,4)</f>
        <v>石川</v>
      </c>
      <c r="J163" s="258" t="str">
        <f>VLOOKUP(34,'２×Ｍ'!C30:K30,5)</f>
        <v>颯大</v>
      </c>
      <c r="K163" s="257">
        <f>VLOOKUP(34,'２×Ｍ'!C30:K30,6)</f>
        <v>2</v>
      </c>
      <c r="L163" s="242"/>
      <c r="M163" s="232"/>
    </row>
    <row r="164" spans="1:13" ht="15.75" customHeight="1" x14ac:dyDescent="0.2">
      <c r="A164" s="256" t="s">
        <v>27</v>
      </c>
      <c r="B164" s="257" t="str">
        <f>VLOOKUP(32,'２×Ｍ'!C28:K28,4)</f>
        <v>藤本</v>
      </c>
      <c r="C164" s="258" t="str">
        <f>VLOOKUP(32,'２×Ｍ'!C28:K28,5)</f>
        <v>優也</v>
      </c>
      <c r="D164" s="257">
        <f>VLOOKUP(32,'２×Ｍ'!C28:K28,6)</f>
        <v>2</v>
      </c>
      <c r="E164" s="242"/>
      <c r="F164" s="232"/>
      <c r="G164" s="232"/>
      <c r="H164" s="256" t="s">
        <v>27</v>
      </c>
      <c r="I164" s="257" t="str">
        <f>VLOOKUP(35,'２×Ｍ'!C31:K31,4)</f>
        <v>渡邉</v>
      </c>
      <c r="J164" s="258" t="str">
        <f>VLOOKUP(35,'２×Ｍ'!C31:K31,5)</f>
        <v>斗翔</v>
      </c>
      <c r="K164" s="257">
        <f>VLOOKUP(35,'２×Ｍ'!C31:K31,6)</f>
        <v>2</v>
      </c>
      <c r="L164" s="242"/>
      <c r="M164" s="232"/>
    </row>
    <row r="165" spans="1:13" ht="15.75" customHeight="1" thickBot="1" x14ac:dyDescent="0.25">
      <c r="A165" s="248" t="s">
        <v>28</v>
      </c>
      <c r="B165" s="240">
        <f>VLOOKUP(33,'２×Ｍ'!C29:K29,4)</f>
        <v>0</v>
      </c>
      <c r="C165" s="241">
        <f>VLOOKUP(33,'２×Ｍ'!C29:K29,5)</f>
        <v>0</v>
      </c>
      <c r="D165" s="240">
        <f>VLOOKUP(33,'２×Ｍ'!C29:K29,6)</f>
        <v>0</v>
      </c>
      <c r="E165" s="242"/>
      <c r="F165" s="232"/>
      <c r="H165" s="248" t="s">
        <v>28</v>
      </c>
      <c r="I165" s="240">
        <f>VLOOKUP(36,'２×Ｍ'!C32:K32,4)</f>
        <v>0</v>
      </c>
      <c r="J165" s="241">
        <f>VLOOKUP(36,'２×Ｍ'!C32:K32,5)</f>
        <v>0</v>
      </c>
      <c r="K165" s="240">
        <f>VLOOKUP(36,'２×Ｍ'!C32:K32,6)</f>
        <v>0</v>
      </c>
      <c r="L165" s="242"/>
      <c r="M165" s="232"/>
    </row>
    <row r="166" spans="1:13" ht="15.75" customHeight="1" thickBot="1" x14ac:dyDescent="0.25"/>
    <row r="167" spans="1:13" ht="15.75" customHeight="1" thickBot="1" x14ac:dyDescent="0.25">
      <c r="A167" s="245" t="s">
        <v>23</v>
      </c>
      <c r="B167" s="606" t="str">
        <f>VLOOKUP(37,'２×Ｍ'!C33:K33,2)</f>
        <v>沼津東高校</v>
      </c>
      <c r="C167" s="606"/>
      <c r="D167" s="246" t="s">
        <v>19</v>
      </c>
      <c r="E167" s="607" t="str">
        <f>VLOOKUP(37,'２×Ｍ'!C33:K33,9)</f>
        <v>萩原康治</v>
      </c>
      <c r="F167" s="608"/>
      <c r="H167" s="245" t="s">
        <v>23</v>
      </c>
      <c r="I167" s="606" t="str">
        <f>VLOOKUP(40,'２×Ｍ'!C36:K36,2)</f>
        <v>浜松西高校</v>
      </c>
      <c r="J167" s="606"/>
      <c r="K167" s="246" t="s">
        <v>19</v>
      </c>
      <c r="L167" s="607" t="str">
        <f>VLOOKUP(40,'２×Ｍ'!C36:K36,9)</f>
        <v>上西智樹</v>
      </c>
      <c r="M167" s="608"/>
    </row>
    <row r="168" spans="1:13" ht="15.75" customHeight="1" x14ac:dyDescent="0.2">
      <c r="A168" s="249" t="s">
        <v>20</v>
      </c>
      <c r="B168" s="250" t="s">
        <v>24</v>
      </c>
      <c r="C168" s="251" t="s">
        <v>25</v>
      </c>
      <c r="D168" s="250" t="s">
        <v>21</v>
      </c>
      <c r="E168" s="238"/>
      <c r="F168" s="239"/>
      <c r="H168" s="249" t="s">
        <v>20</v>
      </c>
      <c r="I168" s="250" t="s">
        <v>24</v>
      </c>
      <c r="J168" s="251" t="s">
        <v>25</v>
      </c>
      <c r="K168" s="250" t="s">
        <v>21</v>
      </c>
      <c r="L168" s="238"/>
      <c r="M168" s="239"/>
    </row>
    <row r="169" spans="1:13" ht="15.75" customHeight="1" x14ac:dyDescent="0.2">
      <c r="A169" s="256" t="s">
        <v>22</v>
      </c>
      <c r="B169" s="257" t="str">
        <f>VLOOKUP(37,'２×Ｍ'!C33:K33,4)</f>
        <v>磯</v>
      </c>
      <c r="C169" s="258" t="str">
        <f>VLOOKUP(37,'２×Ｍ'!C33:K33,5)</f>
        <v>智彦</v>
      </c>
      <c r="D169" s="257">
        <f>VLOOKUP(37,'２×Ｍ'!C33:K33,6)</f>
        <v>2</v>
      </c>
      <c r="E169" s="242"/>
      <c r="F169" s="232"/>
      <c r="H169" s="256" t="s">
        <v>22</v>
      </c>
      <c r="I169" s="257" t="str">
        <f>VLOOKUP(40,'２×Ｍ'!C36:K36,4)</f>
        <v>鈴木</v>
      </c>
      <c r="J169" s="258" t="str">
        <f>VLOOKUP(40,'２×Ｍ'!C36:K36,5)</f>
        <v>絆斗</v>
      </c>
      <c r="K169" s="257">
        <f>VLOOKUP(40,'２×Ｍ'!C36:K36,6)</f>
        <v>2</v>
      </c>
      <c r="L169" s="242"/>
      <c r="M169" s="232"/>
    </row>
    <row r="170" spans="1:13" ht="15.75" customHeight="1" x14ac:dyDescent="0.2">
      <c r="A170" s="256" t="s">
        <v>27</v>
      </c>
      <c r="B170" s="257" t="str">
        <f>VLOOKUP(38,'２×Ｍ'!C34:K34,4)</f>
        <v>長瀬</v>
      </c>
      <c r="C170" s="258" t="str">
        <f>VLOOKUP(38,'２×Ｍ'!C34:K34,5)</f>
        <v>周</v>
      </c>
      <c r="D170" s="257">
        <f>VLOOKUP(38,'２×Ｍ'!C34:K34,6)</f>
        <v>2</v>
      </c>
      <c r="E170" s="242"/>
      <c r="F170" s="232"/>
      <c r="G170" s="232"/>
      <c r="H170" s="256" t="s">
        <v>27</v>
      </c>
      <c r="I170" s="257" t="str">
        <f>VLOOKUP(41,'２×Ｍ'!C37:K37,4)</f>
        <v>中山</v>
      </c>
      <c r="J170" s="258" t="str">
        <f>VLOOKUP(41,'２×Ｍ'!C37:K37,5)</f>
        <v>晃孝</v>
      </c>
      <c r="K170" s="257">
        <f>VLOOKUP(41,'２×Ｍ'!C37:K37,6)</f>
        <v>2</v>
      </c>
      <c r="L170" s="242"/>
      <c r="M170" s="232"/>
    </row>
    <row r="171" spans="1:13" ht="15.75" customHeight="1" thickBot="1" x14ac:dyDescent="0.25">
      <c r="A171" s="248" t="s">
        <v>28</v>
      </c>
      <c r="B171" s="240" t="str">
        <f>VLOOKUP(39,'２×Ｍ'!C35:K35,4)</f>
        <v>須田</v>
      </c>
      <c r="C171" s="241" t="str">
        <f>VLOOKUP(39,'２×Ｍ'!C35:K35,5)</f>
        <v>南月</v>
      </c>
      <c r="D171" s="240">
        <f>VLOOKUP(39,'２×Ｍ'!C35:K35,6)</f>
        <v>2</v>
      </c>
      <c r="E171" s="242"/>
      <c r="F171" s="232"/>
      <c r="H171" s="248" t="s">
        <v>28</v>
      </c>
      <c r="I171" s="240" t="str">
        <f>VLOOKUP(43,'２×Ｍ'!C38:K38,4)</f>
        <v>森本</v>
      </c>
      <c r="J171" s="241" t="str">
        <f>VLOOKUP(43,'２×Ｍ'!C38:K38,5)</f>
        <v>朔矢</v>
      </c>
      <c r="K171" s="240">
        <f>VLOOKUP(43,'２×Ｍ'!C38:K38,6)</f>
        <v>2</v>
      </c>
      <c r="L171" s="242"/>
      <c r="M171" s="232"/>
    </row>
    <row r="172" spans="1:13" ht="15.75" customHeight="1" thickBot="1" x14ac:dyDescent="0.25">
      <c r="A172" s="232"/>
      <c r="H172" s="232"/>
    </row>
    <row r="173" spans="1:13" ht="15.75" customHeight="1" thickBot="1" x14ac:dyDescent="0.25">
      <c r="A173" s="245" t="s">
        <v>23</v>
      </c>
      <c r="B173" s="606">
        <f>VLOOKUP(43,'２×Ｍ'!C39:K39,2)</f>
        <v>0</v>
      </c>
      <c r="C173" s="606"/>
      <c r="D173" s="246" t="s">
        <v>19</v>
      </c>
      <c r="E173" s="607">
        <f>VLOOKUP(43,'２×Ｍ'!C39:K39,9)</f>
        <v>0</v>
      </c>
      <c r="F173" s="608"/>
      <c r="H173" s="245" t="s">
        <v>23</v>
      </c>
      <c r="I173" s="606">
        <f>VLOOKUP(46,'２×Ｍ'!C42:K42,2)</f>
        <v>0</v>
      </c>
      <c r="J173" s="606"/>
      <c r="K173" s="246" t="s">
        <v>19</v>
      </c>
      <c r="L173" s="607">
        <f>VLOOKUP(46,'２×Ｍ'!C42:K42,9)</f>
        <v>0</v>
      </c>
      <c r="M173" s="608"/>
    </row>
    <row r="174" spans="1:13" ht="15.75" customHeight="1" x14ac:dyDescent="0.2">
      <c r="A174" s="249" t="s">
        <v>20</v>
      </c>
      <c r="B174" s="250" t="s">
        <v>24</v>
      </c>
      <c r="C174" s="251" t="s">
        <v>25</v>
      </c>
      <c r="D174" s="250" t="s">
        <v>21</v>
      </c>
      <c r="E174" s="238"/>
      <c r="F174" s="239"/>
      <c r="H174" s="249" t="s">
        <v>20</v>
      </c>
      <c r="I174" s="250" t="s">
        <v>24</v>
      </c>
      <c r="J174" s="251" t="s">
        <v>25</v>
      </c>
      <c r="K174" s="250" t="s">
        <v>21</v>
      </c>
      <c r="L174" s="238"/>
      <c r="M174" s="239"/>
    </row>
    <row r="175" spans="1:13" ht="15.75" customHeight="1" x14ac:dyDescent="0.2">
      <c r="A175" s="256" t="s">
        <v>22</v>
      </c>
      <c r="B175" s="257">
        <f>VLOOKUP(43,'２×Ｍ'!C39:K39,4)</f>
        <v>0</v>
      </c>
      <c r="C175" s="258">
        <f>VLOOKUP(43,'２×Ｍ'!C39:K39,5)</f>
        <v>0</v>
      </c>
      <c r="D175" s="257">
        <f>VLOOKUP(43,'２×Ｍ'!C39:K39,6)</f>
        <v>0</v>
      </c>
      <c r="E175" s="242"/>
      <c r="F175" s="232"/>
      <c r="H175" s="256" t="s">
        <v>22</v>
      </c>
      <c r="I175" s="257">
        <f>VLOOKUP(46,'２×Ｍ'!C42:K42,4)</f>
        <v>0</v>
      </c>
      <c r="J175" s="258">
        <f>VLOOKUP(46,'２×Ｍ'!C42:K42,5)</f>
        <v>0</v>
      </c>
      <c r="K175" s="257">
        <f>VLOOKUP(46,'２×Ｍ'!C42:K42,6)</f>
        <v>0</v>
      </c>
      <c r="L175" s="242"/>
      <c r="M175" s="232"/>
    </row>
    <row r="176" spans="1:13" ht="15.75" customHeight="1" x14ac:dyDescent="0.2">
      <c r="A176" s="256" t="s">
        <v>27</v>
      </c>
      <c r="B176" s="257">
        <f>VLOOKUP(44,'２×Ｍ'!C40:K40,4)</f>
        <v>0</v>
      </c>
      <c r="C176" s="258">
        <f>VLOOKUP(44,'２×Ｍ'!C40:K40,5)</f>
        <v>0</v>
      </c>
      <c r="D176" s="257">
        <f>VLOOKUP(44,'２×Ｍ'!C40:K40,6)</f>
        <v>0</v>
      </c>
      <c r="E176" s="242"/>
      <c r="F176" s="232"/>
      <c r="G176" s="232"/>
      <c r="H176" s="256" t="s">
        <v>27</v>
      </c>
      <c r="I176" s="257">
        <f>VLOOKUP(47,'２×Ｍ'!C43:K43,4)</f>
        <v>0</v>
      </c>
      <c r="J176" s="258">
        <f>VLOOKUP(47,'２×Ｍ'!C43:K43,5)</f>
        <v>0</v>
      </c>
      <c r="K176" s="257">
        <f>VLOOKUP(47,'２×Ｍ'!C43:K43,6)</f>
        <v>0</v>
      </c>
      <c r="L176" s="242"/>
      <c r="M176" s="232"/>
    </row>
    <row r="177" spans="1:13" ht="15.75" customHeight="1" thickBot="1" x14ac:dyDescent="0.25">
      <c r="A177" s="248" t="s">
        <v>28</v>
      </c>
      <c r="B177" s="240">
        <f>VLOOKUP(45,'２×Ｍ'!C41:K41,4)</f>
        <v>0</v>
      </c>
      <c r="C177" s="241">
        <f>VLOOKUP(45,'２×Ｍ'!C41:K41,5)</f>
        <v>0</v>
      </c>
      <c r="D177" s="240">
        <f>VLOOKUP(45,'２×Ｍ'!C41:K41,6)</f>
        <v>0</v>
      </c>
      <c r="E177" s="242"/>
      <c r="F177" s="232"/>
      <c r="H177" s="248" t="s">
        <v>28</v>
      </c>
      <c r="I177" s="240">
        <f>VLOOKUP(48,'２×Ｍ'!C44:K44,4)</f>
        <v>0</v>
      </c>
      <c r="J177" s="241">
        <f>VLOOKUP(48,'２×Ｍ'!C44:K44,5)</f>
        <v>0</v>
      </c>
      <c r="K177" s="240">
        <f>VLOOKUP(48,'２×Ｍ'!C44:K44,6)</f>
        <v>0</v>
      </c>
      <c r="L177" s="242"/>
      <c r="M177" s="232"/>
    </row>
    <row r="178" spans="1:13" ht="15.75" customHeight="1" thickBot="1" x14ac:dyDescent="0.25">
      <c r="A178" s="232"/>
      <c r="H178" s="232"/>
    </row>
    <row r="179" spans="1:13" ht="15.75" customHeight="1" thickBot="1" x14ac:dyDescent="0.25">
      <c r="A179" s="245" t="s">
        <v>374</v>
      </c>
      <c r="B179" s="606">
        <f>VLOOKUP(49,'２×Ｍ'!C45:K45,2)</f>
        <v>0</v>
      </c>
      <c r="C179" s="606"/>
      <c r="D179" s="246" t="s">
        <v>19</v>
      </c>
      <c r="E179" s="607">
        <f>VLOOKUP(49,'２×Ｍ'!C45:K45,9)</f>
        <v>0</v>
      </c>
      <c r="F179" s="608"/>
      <c r="H179" s="245" t="s">
        <v>23</v>
      </c>
      <c r="I179" s="606">
        <f>VLOOKUP(52,'２×Ｍ'!C48:K48,2)</f>
        <v>0</v>
      </c>
      <c r="J179" s="606"/>
      <c r="K179" s="246" t="s">
        <v>19</v>
      </c>
      <c r="L179" s="607">
        <f>VLOOKUP(52,'２×Ｍ'!C48:K48,9)</f>
        <v>0</v>
      </c>
      <c r="M179" s="608"/>
    </row>
    <row r="180" spans="1:13" ht="15.75" customHeight="1" x14ac:dyDescent="0.2">
      <c r="A180" s="249" t="s">
        <v>20</v>
      </c>
      <c r="B180" s="250" t="s">
        <v>24</v>
      </c>
      <c r="C180" s="251" t="s">
        <v>25</v>
      </c>
      <c r="D180" s="250" t="s">
        <v>21</v>
      </c>
      <c r="E180" s="238"/>
      <c r="F180" s="239"/>
      <c r="H180" s="249" t="s">
        <v>20</v>
      </c>
      <c r="I180" s="250" t="s">
        <v>24</v>
      </c>
      <c r="J180" s="251" t="s">
        <v>25</v>
      </c>
      <c r="K180" s="250" t="s">
        <v>21</v>
      </c>
      <c r="L180" s="238"/>
      <c r="M180" s="239"/>
    </row>
    <row r="181" spans="1:13" ht="15.75" customHeight="1" x14ac:dyDescent="0.2">
      <c r="A181" s="256" t="s">
        <v>22</v>
      </c>
      <c r="B181" s="257">
        <f>VLOOKUP(49,'２×Ｍ'!C45:K45,4)</f>
        <v>0</v>
      </c>
      <c r="C181" s="258">
        <f>VLOOKUP(49,'２×Ｍ'!C45:K45,5)</f>
        <v>0</v>
      </c>
      <c r="D181" s="257">
        <f>VLOOKUP(49,'２×Ｍ'!C45:K45,6)</f>
        <v>0</v>
      </c>
      <c r="E181" s="242"/>
      <c r="F181" s="232"/>
      <c r="H181" s="256" t="s">
        <v>22</v>
      </c>
      <c r="I181" s="257">
        <f>VLOOKUP(52,'２×Ｍ'!C48:K48,4)</f>
        <v>0</v>
      </c>
      <c r="J181" s="258">
        <f>VLOOKUP(52,'２×Ｍ'!C48:K48,5)</f>
        <v>0</v>
      </c>
      <c r="K181" s="257">
        <f>VLOOKUP(52,'２×Ｍ'!C48:K48,6)</f>
        <v>0</v>
      </c>
      <c r="L181" s="242"/>
      <c r="M181" s="232"/>
    </row>
    <row r="182" spans="1:13" ht="15.75" customHeight="1" x14ac:dyDescent="0.2">
      <c r="A182" s="256" t="s">
        <v>27</v>
      </c>
      <c r="B182" s="257">
        <f>VLOOKUP(50,'２×Ｍ'!C46:K46,4)</f>
        <v>0</v>
      </c>
      <c r="C182" s="258">
        <f>VLOOKUP(50,'２×Ｍ'!C46:K46,5)</f>
        <v>0</v>
      </c>
      <c r="D182" s="257">
        <f>VLOOKUP(50,'２×Ｍ'!C46:K46,6)</f>
        <v>0</v>
      </c>
      <c r="E182" s="242"/>
      <c r="F182" s="232"/>
      <c r="G182" s="232"/>
      <c r="H182" s="256" t="s">
        <v>27</v>
      </c>
      <c r="I182" s="257">
        <f>VLOOKUP(53,'２×Ｍ'!C49:K49,4)</f>
        <v>0</v>
      </c>
      <c r="J182" s="258">
        <f>VLOOKUP(53,'２×Ｍ'!C49:K49,5)</f>
        <v>0</v>
      </c>
      <c r="K182" s="257">
        <f>VLOOKUP(53,'２×Ｍ'!C49:K49,6)</f>
        <v>0</v>
      </c>
      <c r="L182" s="242"/>
      <c r="M182" s="232"/>
    </row>
    <row r="183" spans="1:13" ht="15.75" customHeight="1" thickBot="1" x14ac:dyDescent="0.25">
      <c r="A183" s="248" t="s">
        <v>28</v>
      </c>
      <c r="B183" s="240">
        <f>VLOOKUP(51,'２×Ｍ'!C47:K47,4)</f>
        <v>0</v>
      </c>
      <c r="C183" s="241">
        <f>VLOOKUP(51,'２×Ｍ'!C47:K47,5)</f>
        <v>0</v>
      </c>
      <c r="D183" s="240">
        <f>VLOOKUP(51,'２×Ｍ'!C47:K47,6)</f>
        <v>0</v>
      </c>
      <c r="E183" s="242"/>
      <c r="F183" s="232"/>
      <c r="H183" s="248" t="s">
        <v>28</v>
      </c>
      <c r="I183" s="240">
        <f>VLOOKUP(54,'２×Ｍ'!C50:K50,4)</f>
        <v>0</v>
      </c>
      <c r="J183" s="241">
        <f>VLOOKUP(54,'２×Ｍ'!C50:K50,5)</f>
        <v>0</v>
      </c>
      <c r="K183" s="240">
        <f>VLOOKUP(54,'２×Ｍ'!C50:K50,6)</f>
        <v>0</v>
      </c>
      <c r="L183" s="242"/>
      <c r="M183" s="232"/>
    </row>
    <row r="184" spans="1:13" ht="15.75" hidden="1" customHeight="1" x14ac:dyDescent="0.2">
      <c r="A184" s="232"/>
      <c r="B184" s="232"/>
      <c r="D184" s="232"/>
      <c r="E184" s="232"/>
      <c r="F184" s="232"/>
      <c r="H184" s="232"/>
      <c r="I184" s="232"/>
      <c r="K184" s="232"/>
      <c r="L184" s="232"/>
      <c r="M184" s="232"/>
    </row>
    <row r="185" spans="1:13" ht="15.75" hidden="1" customHeight="1" thickBot="1" x14ac:dyDescent="0.25">
      <c r="A185" s="245" t="s">
        <v>23</v>
      </c>
      <c r="B185" s="606">
        <f>VLOOKUP(55,'２×Ｍ'!C51:K51,2)</f>
        <v>0</v>
      </c>
      <c r="C185" s="606"/>
      <c r="D185" s="246" t="s">
        <v>19</v>
      </c>
      <c r="E185" s="607">
        <f>VLOOKUP(55,'２×Ｍ'!C51:K51,9)</f>
        <v>0</v>
      </c>
      <c r="F185" s="608"/>
      <c r="H185" s="245" t="s">
        <v>23</v>
      </c>
      <c r="I185" s="606">
        <f>VLOOKUP(58,'２×Ｍ'!C54:K54,2)</f>
        <v>0</v>
      </c>
      <c r="J185" s="606"/>
      <c r="K185" s="246" t="s">
        <v>19</v>
      </c>
      <c r="L185" s="607">
        <f>VLOOKUP(58,'２×Ｍ'!C54:K54,9)</f>
        <v>0</v>
      </c>
      <c r="M185" s="608"/>
    </row>
    <row r="186" spans="1:13" ht="15.75" hidden="1" customHeight="1" x14ac:dyDescent="0.2">
      <c r="A186" s="249" t="s">
        <v>20</v>
      </c>
      <c r="B186" s="250" t="s">
        <v>24</v>
      </c>
      <c r="C186" s="251" t="s">
        <v>25</v>
      </c>
      <c r="D186" s="250" t="s">
        <v>21</v>
      </c>
      <c r="E186" s="238"/>
      <c r="F186" s="239"/>
      <c r="H186" s="249" t="s">
        <v>20</v>
      </c>
      <c r="I186" s="250" t="s">
        <v>24</v>
      </c>
      <c r="J186" s="251" t="s">
        <v>25</v>
      </c>
      <c r="K186" s="250" t="s">
        <v>21</v>
      </c>
      <c r="L186" s="238"/>
      <c r="M186" s="239"/>
    </row>
    <row r="187" spans="1:13" ht="15.75" hidden="1" customHeight="1" x14ac:dyDescent="0.2">
      <c r="A187" s="256" t="s">
        <v>22</v>
      </c>
      <c r="B187" s="257">
        <f>VLOOKUP(55,'２×Ｍ'!C51:K51,4)</f>
        <v>0</v>
      </c>
      <c r="C187" s="258">
        <f>VLOOKUP(55,'２×Ｍ'!C51:K51,5)</f>
        <v>0</v>
      </c>
      <c r="D187" s="257">
        <f>VLOOKUP(55,'２×Ｍ'!C51:K51,6)</f>
        <v>0</v>
      </c>
      <c r="E187" s="242"/>
      <c r="F187" s="232"/>
      <c r="H187" s="256" t="s">
        <v>22</v>
      </c>
      <c r="I187" s="257">
        <f>VLOOKUP(58,'２×Ｍ'!C54:K54,4)</f>
        <v>0</v>
      </c>
      <c r="J187" s="258">
        <f>VLOOKUP(58,'２×Ｍ'!C54:K54,5)</f>
        <v>0</v>
      </c>
      <c r="K187" s="257">
        <f>VLOOKUP(58,'２×Ｍ'!C54:K54,6)</f>
        <v>0</v>
      </c>
      <c r="L187" s="242"/>
      <c r="M187" s="232"/>
    </row>
    <row r="188" spans="1:13" ht="15.75" hidden="1" customHeight="1" x14ac:dyDescent="0.2">
      <c r="A188" s="256" t="s">
        <v>27</v>
      </c>
      <c r="B188" s="257">
        <f>VLOOKUP(56,'２×Ｍ'!C52:K52,4)</f>
        <v>0</v>
      </c>
      <c r="C188" s="258">
        <f>VLOOKUP(56,'２×Ｍ'!C52:K52,5)</f>
        <v>0</v>
      </c>
      <c r="D188" s="257">
        <f>VLOOKUP(56,'２×Ｍ'!C52:K52,6)</f>
        <v>0</v>
      </c>
      <c r="E188" s="242"/>
      <c r="F188" s="232"/>
      <c r="G188" s="232"/>
      <c r="H188" s="256" t="s">
        <v>27</v>
      </c>
      <c r="I188" s="257">
        <f>VLOOKUP(59,'２×Ｍ'!C55:K55,4)</f>
        <v>0</v>
      </c>
      <c r="J188" s="258">
        <f>VLOOKUP(59,'２×Ｍ'!C55:K55,5)</f>
        <v>0</v>
      </c>
      <c r="K188" s="257">
        <f>VLOOKUP(59,'２×Ｍ'!C55:K55,6)</f>
        <v>0</v>
      </c>
      <c r="L188" s="242"/>
      <c r="M188" s="232"/>
    </row>
    <row r="189" spans="1:13" ht="15.75" hidden="1" customHeight="1" thickBot="1" x14ac:dyDescent="0.25">
      <c r="A189" s="248" t="s">
        <v>28</v>
      </c>
      <c r="B189" s="240">
        <f>VLOOKUP(57,'２×Ｍ'!C53:K53,4)</f>
        <v>0</v>
      </c>
      <c r="C189" s="241">
        <f>VLOOKUP(57,'２×Ｍ'!C53:K53,5)</f>
        <v>0</v>
      </c>
      <c r="D189" s="240">
        <f>VLOOKUP(57,'２×Ｍ'!C53:K53,6)</f>
        <v>0</v>
      </c>
      <c r="E189" s="242"/>
      <c r="F189" s="232"/>
      <c r="H189" s="248" t="s">
        <v>28</v>
      </c>
      <c r="I189" s="240">
        <f>VLOOKUP(60,'２×Ｍ'!C56:K56,4)</f>
        <v>0</v>
      </c>
      <c r="J189" s="241">
        <f>VLOOKUP(60,'２×Ｍ'!C56:K56,5)</f>
        <v>0</v>
      </c>
      <c r="K189" s="259">
        <f>VLOOKUP(60,'２×Ｍ'!C56:K56,6)</f>
        <v>0</v>
      </c>
      <c r="L189" s="242"/>
      <c r="M189" s="232"/>
    </row>
    <row r="190" spans="1:13" ht="13.5" hidden="1" thickBot="1" x14ac:dyDescent="0.25">
      <c r="A190" s="232"/>
      <c r="B190" s="232"/>
      <c r="D190" s="232"/>
      <c r="E190" s="232"/>
      <c r="F190" s="232"/>
      <c r="H190" s="232"/>
      <c r="I190" s="232"/>
      <c r="K190" s="232"/>
      <c r="L190" s="232"/>
      <c r="M190" s="232"/>
    </row>
    <row r="191" spans="1:13" ht="13.5" hidden="1" thickBot="1" x14ac:dyDescent="0.25">
      <c r="A191" s="245" t="s">
        <v>23</v>
      </c>
      <c r="B191" s="606">
        <f>VLOOKUP(61,'２×Ｍ'!C57:K57,2)</f>
        <v>0</v>
      </c>
      <c r="C191" s="606"/>
      <c r="D191" s="246" t="s">
        <v>19</v>
      </c>
      <c r="E191" s="607">
        <f>VLOOKUP(61,'２×Ｍ'!C57:K57,9)</f>
        <v>0</v>
      </c>
      <c r="F191" s="608"/>
      <c r="H191" s="245" t="s">
        <v>23</v>
      </c>
      <c r="I191" s="606">
        <f>VLOOKUP(64,'２×Ｍ'!C60:K60,2)</f>
        <v>0</v>
      </c>
      <c r="J191" s="606"/>
      <c r="K191" s="246" t="s">
        <v>19</v>
      </c>
      <c r="L191" s="607">
        <f>VLOOKUP(64,'２×Ｍ'!C60:K60,9)</f>
        <v>0</v>
      </c>
      <c r="M191" s="608"/>
    </row>
    <row r="192" spans="1:13" ht="13" hidden="1" x14ac:dyDescent="0.2">
      <c r="A192" s="249" t="s">
        <v>20</v>
      </c>
      <c r="B192" s="250" t="s">
        <v>24</v>
      </c>
      <c r="C192" s="251" t="s">
        <v>25</v>
      </c>
      <c r="D192" s="250" t="s">
        <v>21</v>
      </c>
      <c r="E192" s="238"/>
      <c r="F192" s="239"/>
      <c r="H192" s="249" t="s">
        <v>20</v>
      </c>
      <c r="I192" s="250" t="s">
        <v>24</v>
      </c>
      <c r="J192" s="251" t="s">
        <v>25</v>
      </c>
      <c r="K192" s="250" t="s">
        <v>21</v>
      </c>
      <c r="L192" s="238"/>
      <c r="M192" s="239"/>
    </row>
    <row r="193" spans="1:13" ht="13" hidden="1" x14ac:dyDescent="0.2">
      <c r="A193" s="256" t="s">
        <v>22</v>
      </c>
      <c r="B193" s="257">
        <f>VLOOKUP(61,'２×Ｍ'!C57:K57,4)</f>
        <v>0</v>
      </c>
      <c r="C193" s="258">
        <f>VLOOKUP(61,'２×Ｍ'!C57:K57,5)</f>
        <v>0</v>
      </c>
      <c r="D193" s="257">
        <f>VLOOKUP(61,'２×Ｍ'!C57:K57,6)</f>
        <v>0</v>
      </c>
      <c r="E193" s="242"/>
      <c r="F193" s="232"/>
      <c r="H193" s="256" t="s">
        <v>22</v>
      </c>
      <c r="I193" s="257">
        <f>VLOOKUP(64,'２×Ｍ'!C60:K60,4)</f>
        <v>0</v>
      </c>
      <c r="J193" s="258">
        <f>VLOOKUP(64,'２×Ｍ'!C60:K60,5)</f>
        <v>0</v>
      </c>
      <c r="K193" s="257">
        <f>VLOOKUP(64,'２×Ｍ'!C60:K60,6)</f>
        <v>0</v>
      </c>
      <c r="L193" s="242"/>
      <c r="M193" s="232"/>
    </row>
    <row r="194" spans="1:13" ht="13" hidden="1" x14ac:dyDescent="0.2">
      <c r="A194" s="256" t="s">
        <v>27</v>
      </c>
      <c r="B194" s="257">
        <f>VLOOKUP(62,'２×Ｍ'!C58:K58,4)</f>
        <v>0</v>
      </c>
      <c r="C194" s="258">
        <f>VLOOKUP(62,'２×Ｍ'!C58:K58,5)</f>
        <v>0</v>
      </c>
      <c r="D194" s="257">
        <f>VLOOKUP(62,'２×Ｍ'!C58:K58,6)</f>
        <v>0</v>
      </c>
      <c r="E194" s="242"/>
      <c r="F194" s="232"/>
      <c r="G194" s="232"/>
      <c r="H194" s="256" t="s">
        <v>27</v>
      </c>
      <c r="I194" s="257">
        <f>VLOOKUP(65,'２×Ｍ'!C61:K61,4)</f>
        <v>0</v>
      </c>
      <c r="J194" s="258">
        <f>VLOOKUP(65,'２×Ｍ'!C61:K61,5)</f>
        <v>0</v>
      </c>
      <c r="K194" s="257">
        <f>VLOOKUP(65,'２×Ｍ'!C61:K61,6)</f>
        <v>0</v>
      </c>
      <c r="L194" s="242"/>
      <c r="M194" s="232"/>
    </row>
    <row r="195" spans="1:13" ht="13.5" hidden="1" thickBot="1" x14ac:dyDescent="0.25">
      <c r="A195" s="248" t="s">
        <v>28</v>
      </c>
      <c r="B195" s="240">
        <f>VLOOKUP(63,'２×Ｍ'!C59:K59,4)</f>
        <v>0</v>
      </c>
      <c r="C195" s="241">
        <f>VLOOKUP(63,'２×Ｍ'!C59:K59,5)</f>
        <v>0</v>
      </c>
      <c r="D195" s="259">
        <f>VLOOKUP(63,'２×Ｍ'!C59:K59,6)</f>
        <v>0</v>
      </c>
      <c r="E195" s="242"/>
      <c r="F195" s="232"/>
      <c r="H195" s="248" t="s">
        <v>28</v>
      </c>
      <c r="I195" s="240">
        <f>VLOOKUP(66,'２×Ｍ'!C62:K62,4)</f>
        <v>0</v>
      </c>
      <c r="J195" s="241">
        <f>VLOOKUP(66,'２×Ｍ'!C62:K62,5)</f>
        <v>0</v>
      </c>
      <c r="K195" s="240">
        <f>VLOOKUP(66,'２×Ｍ'!C62:K62,6)</f>
        <v>0</v>
      </c>
      <c r="L195" s="242"/>
      <c r="M195" s="232"/>
    </row>
    <row r="196" spans="1:13" ht="13.5" hidden="1" thickBot="1" x14ac:dyDescent="0.25">
      <c r="A196" s="232"/>
      <c r="B196" s="232"/>
      <c r="D196" s="232"/>
      <c r="E196" s="232"/>
      <c r="F196" s="232"/>
      <c r="H196" s="232"/>
      <c r="I196" s="232"/>
      <c r="K196" s="232"/>
      <c r="L196" s="232"/>
      <c r="M196" s="232"/>
    </row>
    <row r="197" spans="1:13" ht="13.5" hidden="1" thickBot="1" x14ac:dyDescent="0.25">
      <c r="A197" s="245" t="s">
        <v>23</v>
      </c>
      <c r="B197" s="606">
        <f>VLOOKUP(67,'２×Ｍ'!C63:K63,2)</f>
        <v>0</v>
      </c>
      <c r="C197" s="606"/>
      <c r="D197" s="246" t="s">
        <v>19</v>
      </c>
      <c r="E197" s="607">
        <f>VLOOKUP(67,'２×Ｍ'!C63:K63,9)</f>
        <v>0</v>
      </c>
      <c r="F197" s="608"/>
      <c r="H197" s="245" t="s">
        <v>23</v>
      </c>
      <c r="I197" s="606">
        <f>VLOOKUP(70,'２×Ｍ'!C66:K66,2)</f>
        <v>0</v>
      </c>
      <c r="J197" s="606"/>
      <c r="K197" s="246" t="s">
        <v>19</v>
      </c>
      <c r="L197" s="607">
        <f>VLOOKUP(70,'２×Ｍ'!C66:K66,9)</f>
        <v>0</v>
      </c>
      <c r="M197" s="608"/>
    </row>
    <row r="198" spans="1:13" ht="13" hidden="1" x14ac:dyDescent="0.2">
      <c r="A198" s="249" t="s">
        <v>20</v>
      </c>
      <c r="B198" s="250" t="s">
        <v>24</v>
      </c>
      <c r="C198" s="251" t="s">
        <v>25</v>
      </c>
      <c r="D198" s="250" t="s">
        <v>21</v>
      </c>
      <c r="E198" s="238"/>
      <c r="F198" s="239"/>
      <c r="H198" s="249" t="s">
        <v>20</v>
      </c>
      <c r="I198" s="250" t="s">
        <v>24</v>
      </c>
      <c r="J198" s="251" t="s">
        <v>25</v>
      </c>
      <c r="K198" s="250" t="s">
        <v>21</v>
      </c>
      <c r="L198" s="238"/>
      <c r="M198" s="239"/>
    </row>
    <row r="199" spans="1:13" ht="13" hidden="1" x14ac:dyDescent="0.2">
      <c r="A199" s="256" t="s">
        <v>22</v>
      </c>
      <c r="B199" s="257">
        <f>VLOOKUP(67,'２×Ｍ'!C63:K63,4)</f>
        <v>0</v>
      </c>
      <c r="C199" s="258">
        <f>VLOOKUP(67,'２×Ｍ'!C63:K63,5)</f>
        <v>0</v>
      </c>
      <c r="D199" s="257">
        <f>VLOOKUP(67,'２×Ｍ'!C63:K63,6)</f>
        <v>0</v>
      </c>
      <c r="E199" s="242"/>
      <c r="F199" s="232"/>
      <c r="H199" s="256" t="s">
        <v>22</v>
      </c>
      <c r="I199" s="257">
        <f>VLOOKUP(70,'２×Ｍ'!C66:K66,4)</f>
        <v>0</v>
      </c>
      <c r="J199" s="258">
        <f>VLOOKUP(70,'２×Ｍ'!C66:K66,5)</f>
        <v>0</v>
      </c>
      <c r="K199" s="257">
        <f>VLOOKUP(70,'２×Ｍ'!C66:K66,6)</f>
        <v>0</v>
      </c>
      <c r="L199" s="242"/>
      <c r="M199" s="232"/>
    </row>
    <row r="200" spans="1:13" ht="13" hidden="1" x14ac:dyDescent="0.2">
      <c r="A200" s="256" t="s">
        <v>27</v>
      </c>
      <c r="B200" s="257">
        <f>VLOOKUP(68,'２×Ｍ'!C64:K64,4)</f>
        <v>0</v>
      </c>
      <c r="C200" s="258">
        <f>VLOOKUP(68,'２×Ｍ'!C64:K64,5)</f>
        <v>0</v>
      </c>
      <c r="D200" s="257">
        <f>VLOOKUP(68,'２×Ｍ'!C64:K64,6)</f>
        <v>0</v>
      </c>
      <c r="E200" s="242"/>
      <c r="F200" s="232"/>
      <c r="G200" s="232"/>
      <c r="H200" s="256" t="s">
        <v>27</v>
      </c>
      <c r="I200" s="257">
        <f>VLOOKUP(71,'２×Ｍ'!C67:K67,4)</f>
        <v>0</v>
      </c>
      <c r="J200" s="258">
        <f>VLOOKUP(71,'２×Ｍ'!C67:K67,5)</f>
        <v>0</v>
      </c>
      <c r="K200" s="257">
        <f>VLOOKUP(71,'２×Ｍ'!C67:K67,6)</f>
        <v>0</v>
      </c>
      <c r="L200" s="242"/>
      <c r="M200" s="232"/>
    </row>
    <row r="201" spans="1:13" ht="13.5" hidden="1" thickBot="1" x14ac:dyDescent="0.25">
      <c r="A201" s="248" t="s">
        <v>28</v>
      </c>
      <c r="B201" s="240">
        <f>VLOOKUP(69,'２×Ｍ'!C65:K65,4)</f>
        <v>0</v>
      </c>
      <c r="C201" s="241">
        <f>VLOOKUP(69,'２×Ｍ'!C65:K65,5)</f>
        <v>0</v>
      </c>
      <c r="D201" s="240">
        <f>VLOOKUP(69,'２×Ｍ'!C65:K65,6)</f>
        <v>0</v>
      </c>
      <c r="E201" s="242"/>
      <c r="F201" s="232"/>
      <c r="H201" s="248" t="s">
        <v>28</v>
      </c>
      <c r="I201" s="240">
        <f>VLOOKUP(72,'２×Ｍ'!C68:K68,4)</f>
        <v>0</v>
      </c>
      <c r="J201" s="241">
        <f>VLOOKUP(72,'２×Ｍ'!C68:K68,5)</f>
        <v>0</v>
      </c>
      <c r="K201" s="240">
        <f>VLOOKUP(72,'２×Ｍ'!C68:K68,6)</f>
        <v>0</v>
      </c>
      <c r="L201" s="242"/>
      <c r="M201" s="232"/>
    </row>
    <row r="202" spans="1:13" ht="13.5" hidden="1" thickBot="1" x14ac:dyDescent="0.25">
      <c r="A202" s="232"/>
      <c r="B202" s="232"/>
      <c r="D202" s="232"/>
      <c r="E202" s="232"/>
      <c r="F202" s="232"/>
      <c r="H202" s="232"/>
      <c r="I202" s="232"/>
      <c r="K202" s="232"/>
      <c r="L202" s="232"/>
      <c r="M202" s="232"/>
    </row>
    <row r="203" spans="1:13" ht="13.5" hidden="1" thickBot="1" x14ac:dyDescent="0.25">
      <c r="A203" s="245" t="s">
        <v>23</v>
      </c>
      <c r="B203" s="606">
        <f>VLOOKUP(73,'２×Ｍ'!C69:K69,2)</f>
        <v>0</v>
      </c>
      <c r="C203" s="606"/>
      <c r="D203" s="246" t="s">
        <v>19</v>
      </c>
      <c r="E203" s="607">
        <f>VLOOKUP(73,'２×Ｍ'!C69:K69,9)</f>
        <v>0</v>
      </c>
      <c r="F203" s="608"/>
      <c r="H203" s="245" t="s">
        <v>23</v>
      </c>
      <c r="I203" s="606">
        <f>VLOOKUP(76,'２×Ｍ'!C72:K72,2)</f>
        <v>0</v>
      </c>
      <c r="J203" s="606"/>
      <c r="K203" s="246" t="s">
        <v>19</v>
      </c>
      <c r="L203" s="607">
        <f>VLOOKUP(76,'２×Ｍ'!C72:K72,9)</f>
        <v>0</v>
      </c>
      <c r="M203" s="608"/>
    </row>
    <row r="204" spans="1:13" ht="13" hidden="1" x14ac:dyDescent="0.2">
      <c r="A204" s="249" t="s">
        <v>20</v>
      </c>
      <c r="B204" s="250" t="s">
        <v>24</v>
      </c>
      <c r="C204" s="251" t="s">
        <v>25</v>
      </c>
      <c r="D204" s="250" t="s">
        <v>21</v>
      </c>
      <c r="E204" s="238"/>
      <c r="F204" s="239"/>
      <c r="H204" s="249" t="s">
        <v>20</v>
      </c>
      <c r="I204" s="250" t="s">
        <v>24</v>
      </c>
      <c r="J204" s="251" t="s">
        <v>25</v>
      </c>
      <c r="K204" s="250" t="s">
        <v>21</v>
      </c>
      <c r="L204" s="238"/>
      <c r="M204" s="239"/>
    </row>
    <row r="205" spans="1:13" ht="13" hidden="1" x14ac:dyDescent="0.2">
      <c r="A205" s="256" t="s">
        <v>22</v>
      </c>
      <c r="B205" s="257">
        <f>VLOOKUP(73,'２×Ｍ'!C69:K69,4)</f>
        <v>0</v>
      </c>
      <c r="C205" s="258">
        <f>VLOOKUP(73,'２×Ｍ'!C69:K69,5)</f>
        <v>0</v>
      </c>
      <c r="D205" s="257">
        <f>VLOOKUP(73,'２×Ｍ'!C69:K69,6)</f>
        <v>0</v>
      </c>
      <c r="E205" s="242"/>
      <c r="F205" s="232"/>
      <c r="H205" s="256" t="s">
        <v>22</v>
      </c>
      <c r="I205" s="257">
        <f>VLOOKUP(76,'２×Ｍ'!C72:K72,4)</f>
        <v>0</v>
      </c>
      <c r="J205" s="258">
        <f>VLOOKUP(76,'２×Ｍ'!C72:K72,5)</f>
        <v>0</v>
      </c>
      <c r="K205" s="257">
        <f>VLOOKUP(76,'２×Ｍ'!C72:K72,6)</f>
        <v>0</v>
      </c>
      <c r="L205" s="242"/>
      <c r="M205" s="232"/>
    </row>
    <row r="206" spans="1:13" ht="13" hidden="1" x14ac:dyDescent="0.2">
      <c r="A206" s="256" t="s">
        <v>27</v>
      </c>
      <c r="B206" s="257">
        <f>VLOOKUP(74,'２×Ｍ'!C70:K70,4)</f>
        <v>0</v>
      </c>
      <c r="C206" s="258">
        <f>VLOOKUP(74,'２×Ｍ'!C70:K70,5)</f>
        <v>0</v>
      </c>
      <c r="D206" s="257">
        <f>VLOOKUP(74,'２×Ｍ'!C70:K70,6)</f>
        <v>0</v>
      </c>
      <c r="E206" s="242"/>
      <c r="F206" s="232"/>
      <c r="G206" s="232"/>
      <c r="H206" s="256" t="s">
        <v>27</v>
      </c>
      <c r="I206" s="257">
        <f>VLOOKUP(77,'２×Ｍ'!C73:K73,4)</f>
        <v>0</v>
      </c>
      <c r="J206" s="258">
        <f>VLOOKUP(77,'２×Ｍ'!C73:K73,5)</f>
        <v>0</v>
      </c>
      <c r="K206" s="257">
        <f>VLOOKUP(77,'２×Ｍ'!C73:K73,6)</f>
        <v>0</v>
      </c>
      <c r="L206" s="242"/>
      <c r="M206" s="232"/>
    </row>
    <row r="207" spans="1:13" ht="13.5" hidden="1" thickBot="1" x14ac:dyDescent="0.25">
      <c r="A207" s="248" t="s">
        <v>28</v>
      </c>
      <c r="B207" s="240">
        <f>VLOOKUP(75,'２×Ｍ'!C71:K71,4)</f>
        <v>0</v>
      </c>
      <c r="C207" s="241">
        <f>VLOOKUP(75,'２×Ｍ'!C71:K71,5)</f>
        <v>0</v>
      </c>
      <c r="D207" s="240">
        <f>VLOOKUP(75,'２×Ｍ'!C71:K71,6)</f>
        <v>0</v>
      </c>
      <c r="E207" s="242"/>
      <c r="F207" s="232"/>
      <c r="H207" s="248" t="s">
        <v>28</v>
      </c>
      <c r="I207" s="240">
        <f>VLOOKUP(78,'２×Ｍ'!C74:K74,4)</f>
        <v>0</v>
      </c>
      <c r="J207" s="241">
        <f>VLOOKUP(78,'２×Ｍ'!C74:K74,5)</f>
        <v>0</v>
      </c>
      <c r="K207" s="240">
        <f>VLOOKUP(78,'２×Ｍ'!C74:K74,6)</f>
        <v>0</v>
      </c>
      <c r="L207" s="242"/>
      <c r="M207" s="232"/>
    </row>
    <row r="208" spans="1:13" ht="13" hidden="1" x14ac:dyDescent="0.2">
      <c r="A208" s="232"/>
      <c r="B208" s="232"/>
      <c r="D208" s="232"/>
      <c r="E208" s="232"/>
      <c r="F208" s="232"/>
      <c r="H208" s="232"/>
      <c r="I208" s="232"/>
      <c r="K208" s="232"/>
      <c r="L208" s="232"/>
      <c r="M208" s="232"/>
    </row>
    <row r="209" spans="1:13" ht="13.5" hidden="1" thickBot="1" x14ac:dyDescent="0.25">
      <c r="A209" s="245" t="s">
        <v>23</v>
      </c>
      <c r="B209" s="606">
        <f>VLOOKUP(79,'２×Ｍ'!C75:K75,2)</f>
        <v>0</v>
      </c>
      <c r="C209" s="606"/>
      <c r="D209" s="246" t="s">
        <v>19</v>
      </c>
      <c r="E209" s="607">
        <f>VLOOKUP(79,'２×Ｍ'!C75:K75,9)</f>
        <v>0</v>
      </c>
      <c r="F209" s="608"/>
      <c r="H209" s="245" t="s">
        <v>23</v>
      </c>
      <c r="I209" s="606">
        <f>VLOOKUP(82,'２×Ｍ'!C78:K78,2)</f>
        <v>0</v>
      </c>
      <c r="J209" s="606"/>
      <c r="K209" s="246" t="s">
        <v>19</v>
      </c>
      <c r="L209" s="607">
        <f>VLOOKUP(82,'２×Ｍ'!C78:K78,9)</f>
        <v>0</v>
      </c>
      <c r="M209" s="608"/>
    </row>
    <row r="210" spans="1:13" ht="13" hidden="1" x14ac:dyDescent="0.2">
      <c r="A210" s="249" t="s">
        <v>20</v>
      </c>
      <c r="B210" s="250" t="s">
        <v>24</v>
      </c>
      <c r="C210" s="251" t="s">
        <v>25</v>
      </c>
      <c r="D210" s="250" t="s">
        <v>21</v>
      </c>
      <c r="E210" s="238"/>
      <c r="F210" s="239"/>
      <c r="H210" s="249" t="s">
        <v>20</v>
      </c>
      <c r="I210" s="250" t="s">
        <v>24</v>
      </c>
      <c r="J210" s="251" t="s">
        <v>25</v>
      </c>
      <c r="K210" s="250" t="s">
        <v>21</v>
      </c>
      <c r="L210" s="238"/>
      <c r="M210" s="239"/>
    </row>
    <row r="211" spans="1:13" ht="13" hidden="1" x14ac:dyDescent="0.2">
      <c r="A211" s="256" t="s">
        <v>22</v>
      </c>
      <c r="B211" s="257">
        <f>VLOOKUP(79,'２×Ｍ'!C75:K75,4)</f>
        <v>0</v>
      </c>
      <c r="C211" s="258">
        <f>VLOOKUP(79,'２×Ｍ'!C75:K75,5)</f>
        <v>0</v>
      </c>
      <c r="D211" s="257">
        <f>VLOOKUP(79,'２×Ｍ'!C75:K75,6)</f>
        <v>0</v>
      </c>
      <c r="E211" s="242"/>
      <c r="F211" s="232"/>
      <c r="H211" s="256" t="s">
        <v>22</v>
      </c>
      <c r="I211" s="257">
        <f>VLOOKUP(82,'２×Ｍ'!C78:K78,4)</f>
        <v>0</v>
      </c>
      <c r="J211" s="258">
        <f>VLOOKUP(82,'２×Ｍ'!C78:K78,5)</f>
        <v>0</v>
      </c>
      <c r="K211" s="257">
        <f>VLOOKUP(82,'２×Ｍ'!C78:K78,6)</f>
        <v>0</v>
      </c>
      <c r="L211" s="242"/>
      <c r="M211" s="232"/>
    </row>
    <row r="212" spans="1:13" ht="13" hidden="1" x14ac:dyDescent="0.2">
      <c r="A212" s="256" t="s">
        <v>27</v>
      </c>
      <c r="B212" s="257">
        <f>VLOOKUP(80,'２×Ｍ'!C76:K76,4)</f>
        <v>0</v>
      </c>
      <c r="C212" s="258">
        <f>VLOOKUP(80,'２×Ｍ'!C76:K76,5)</f>
        <v>0</v>
      </c>
      <c r="D212" s="257">
        <f>VLOOKUP(80,'２×Ｍ'!C76:K76,6)</f>
        <v>0</v>
      </c>
      <c r="E212" s="242"/>
      <c r="F212" s="232"/>
      <c r="G212" s="232"/>
      <c r="H212" s="256" t="s">
        <v>27</v>
      </c>
      <c r="I212" s="257">
        <f>VLOOKUP(83,'２×Ｍ'!C79:K79,4)</f>
        <v>0</v>
      </c>
      <c r="J212" s="258">
        <f>VLOOKUP(83,'２×Ｍ'!C79:K79,5)</f>
        <v>0</v>
      </c>
      <c r="K212" s="257">
        <f>VLOOKUP(83,'２×Ｍ'!C79:K79,6)</f>
        <v>0</v>
      </c>
      <c r="L212" s="242"/>
      <c r="M212" s="232"/>
    </row>
    <row r="213" spans="1:13" ht="13.5" hidden="1" thickBot="1" x14ac:dyDescent="0.25">
      <c r="A213" s="248" t="s">
        <v>28</v>
      </c>
      <c r="B213" s="240">
        <f>VLOOKUP(81,'２×Ｍ'!C77:K77,4)</f>
        <v>0</v>
      </c>
      <c r="C213" s="241">
        <f>VLOOKUP(81,'２×Ｍ'!C77:K77,5)</f>
        <v>0</v>
      </c>
      <c r="D213" s="240">
        <f>VLOOKUP(81,'２×Ｍ'!C77:K77,6)</f>
        <v>0</v>
      </c>
      <c r="E213" s="242"/>
      <c r="F213" s="232"/>
      <c r="H213" s="248" t="s">
        <v>28</v>
      </c>
      <c r="I213" s="240">
        <f>VLOOKUP(84,'２×Ｍ'!C80:K80,4)</f>
        <v>0</v>
      </c>
      <c r="J213" s="241">
        <f>VLOOKUP(84,'２×Ｍ'!C80:K80,5)</f>
        <v>0</v>
      </c>
      <c r="K213" s="240">
        <f>VLOOKUP(84,'２×Ｍ'!C80:K80,6)</f>
        <v>0</v>
      </c>
      <c r="L213" s="242"/>
      <c r="M213" s="232"/>
    </row>
    <row r="214" spans="1:13" ht="13.5" hidden="1" thickBot="1" x14ac:dyDescent="0.25">
      <c r="A214" s="245" t="s">
        <v>23</v>
      </c>
      <c r="B214" s="606">
        <f>VLOOKUP(85,'２×Ｍ'!C81:K81,2)</f>
        <v>0</v>
      </c>
      <c r="C214" s="606"/>
      <c r="D214" s="246" t="s">
        <v>19</v>
      </c>
      <c r="E214" s="607">
        <f>VLOOKUP(85,'２×Ｍ'!C81:K81,9)</f>
        <v>0</v>
      </c>
      <c r="F214" s="608"/>
      <c r="H214" s="245" t="s">
        <v>23</v>
      </c>
      <c r="I214" s="606">
        <f>VLOOKUP(88,'２×Ｍ'!C84:K84,2)</f>
        <v>0</v>
      </c>
      <c r="J214" s="606"/>
      <c r="K214" s="246" t="s">
        <v>19</v>
      </c>
      <c r="L214" s="607">
        <f>VLOOKUP(88,'２×Ｍ'!C84:K84,9)</f>
        <v>0</v>
      </c>
      <c r="M214" s="608"/>
    </row>
    <row r="215" spans="1:13" ht="13" hidden="1" x14ac:dyDescent="0.2">
      <c r="A215" s="249" t="s">
        <v>20</v>
      </c>
      <c r="B215" s="250" t="s">
        <v>24</v>
      </c>
      <c r="C215" s="251" t="s">
        <v>25</v>
      </c>
      <c r="D215" s="250" t="s">
        <v>21</v>
      </c>
      <c r="E215" s="238"/>
      <c r="F215" s="239"/>
      <c r="H215" s="249" t="s">
        <v>20</v>
      </c>
      <c r="I215" s="250" t="s">
        <v>24</v>
      </c>
      <c r="J215" s="251" t="s">
        <v>25</v>
      </c>
      <c r="K215" s="250" t="s">
        <v>21</v>
      </c>
      <c r="L215" s="238"/>
      <c r="M215" s="239"/>
    </row>
    <row r="216" spans="1:13" ht="13" hidden="1" x14ac:dyDescent="0.2">
      <c r="A216" s="256" t="s">
        <v>22</v>
      </c>
      <c r="B216" s="257">
        <f>VLOOKUP(85,'２×Ｍ'!C81:K81,4)</f>
        <v>0</v>
      </c>
      <c r="C216" s="258">
        <f>VLOOKUP(85,'２×Ｍ'!C81:K81,5)</f>
        <v>0</v>
      </c>
      <c r="D216" s="257">
        <f>VLOOKUP(85,'２×Ｍ'!C81:K81,6)</f>
        <v>0</v>
      </c>
      <c r="E216" s="242"/>
      <c r="F216" s="232"/>
      <c r="H216" s="256" t="s">
        <v>22</v>
      </c>
      <c r="I216" s="257">
        <f>VLOOKUP(88,'２×Ｍ'!C84:K84,4)</f>
        <v>0</v>
      </c>
      <c r="J216" s="258">
        <f>VLOOKUP(88,'２×Ｍ'!C84:K84,5)</f>
        <v>0</v>
      </c>
      <c r="K216" s="257">
        <f>VLOOKUP(88,'２×Ｍ'!C84:K84,6)</f>
        <v>0</v>
      </c>
      <c r="L216" s="242"/>
      <c r="M216" s="232"/>
    </row>
    <row r="217" spans="1:13" ht="13" hidden="1" x14ac:dyDescent="0.2">
      <c r="A217" s="256" t="s">
        <v>27</v>
      </c>
      <c r="B217" s="257">
        <f>VLOOKUP(86,'２×Ｍ'!C82:K82,4)</f>
        <v>0</v>
      </c>
      <c r="C217" s="258">
        <f>VLOOKUP(86,'２×Ｍ'!C82:K82,5)</f>
        <v>0</v>
      </c>
      <c r="D217" s="257">
        <f>VLOOKUP(86,'２×Ｍ'!C82:K82,6)</f>
        <v>0</v>
      </c>
      <c r="E217" s="242"/>
      <c r="F217" s="232"/>
      <c r="G217" s="232"/>
      <c r="H217" s="256" t="s">
        <v>27</v>
      </c>
      <c r="I217" s="257">
        <f>VLOOKUP(89,'２×Ｍ'!C85:K85,4)</f>
        <v>0</v>
      </c>
      <c r="J217" s="258">
        <f>VLOOKUP(89,'２×Ｍ'!C85:K85,5)</f>
        <v>0</v>
      </c>
      <c r="K217" s="257">
        <f>VLOOKUP(89,'２×Ｍ'!C85:K85,6)</f>
        <v>0</v>
      </c>
      <c r="L217" s="242"/>
      <c r="M217" s="232"/>
    </row>
    <row r="218" spans="1:13" ht="13.5" hidden="1" thickBot="1" x14ac:dyDescent="0.25">
      <c r="A218" s="248" t="s">
        <v>28</v>
      </c>
      <c r="B218" s="240">
        <f>VLOOKUP(87,'２×Ｍ'!C83:K83,4)</f>
        <v>0</v>
      </c>
      <c r="C218" s="241">
        <f>VLOOKUP(87,'２×Ｍ'!C83:K83,5)</f>
        <v>0</v>
      </c>
      <c r="D218" s="240">
        <f>VLOOKUP(87,'２×Ｍ'!C83:K83,6)</f>
        <v>0</v>
      </c>
      <c r="E218" s="242"/>
      <c r="F218" s="232"/>
      <c r="H218" s="248" t="s">
        <v>28</v>
      </c>
      <c r="I218" s="240">
        <f>VLOOKUP(90,'２×Ｍ'!C86:K86,4)</f>
        <v>0</v>
      </c>
      <c r="J218" s="241">
        <f>VLOOKUP(90,'２×Ｍ'!C86:K86,5)</f>
        <v>0</v>
      </c>
      <c r="K218" s="240">
        <f>VLOOKUP(90,'２×Ｍ'!C86:K86,6)</f>
        <v>0</v>
      </c>
      <c r="L218" s="242"/>
      <c r="M218" s="232"/>
    </row>
    <row r="219" spans="1:13" ht="13.5" hidden="1" thickBot="1" x14ac:dyDescent="0.25">
      <c r="A219" s="232"/>
      <c r="B219" s="232"/>
      <c r="D219" s="232"/>
      <c r="E219" s="232"/>
      <c r="F219" s="232"/>
      <c r="H219" s="232"/>
      <c r="I219" s="232"/>
      <c r="K219" s="232"/>
      <c r="L219" s="232"/>
      <c r="M219" s="232"/>
    </row>
    <row r="220" spans="1:13" ht="13.5" hidden="1" thickBot="1" x14ac:dyDescent="0.25">
      <c r="A220" s="245" t="s">
        <v>23</v>
      </c>
      <c r="B220" s="606">
        <f>VLOOKUP(91,'２×Ｍ'!C87:K87,2)</f>
        <v>0</v>
      </c>
      <c r="C220" s="606"/>
      <c r="D220" s="246" t="s">
        <v>19</v>
      </c>
      <c r="E220" s="607">
        <f>VLOOKUP(91,'２×Ｍ'!C87:K87,9)</f>
        <v>0</v>
      </c>
      <c r="F220" s="608"/>
      <c r="H220" s="245" t="s">
        <v>23</v>
      </c>
      <c r="I220" s="606">
        <f>VLOOKUP(94,'２×Ｍ'!C90:K90,2)</f>
        <v>0</v>
      </c>
      <c r="J220" s="606"/>
      <c r="K220" s="246" t="s">
        <v>19</v>
      </c>
      <c r="L220" s="607">
        <f>VLOOKUP(94,'２×Ｍ'!C90:K90,9)</f>
        <v>0</v>
      </c>
      <c r="M220" s="608"/>
    </row>
    <row r="221" spans="1:13" ht="13" hidden="1" x14ac:dyDescent="0.2">
      <c r="A221" s="249" t="s">
        <v>20</v>
      </c>
      <c r="B221" s="250" t="s">
        <v>24</v>
      </c>
      <c r="C221" s="251" t="s">
        <v>25</v>
      </c>
      <c r="D221" s="250" t="s">
        <v>21</v>
      </c>
      <c r="E221" s="238"/>
      <c r="F221" s="239"/>
      <c r="H221" s="249" t="s">
        <v>20</v>
      </c>
      <c r="I221" s="250" t="s">
        <v>24</v>
      </c>
      <c r="J221" s="251" t="s">
        <v>25</v>
      </c>
      <c r="K221" s="250" t="s">
        <v>21</v>
      </c>
      <c r="L221" s="238"/>
      <c r="M221" s="239"/>
    </row>
    <row r="222" spans="1:13" ht="13" hidden="1" x14ac:dyDescent="0.2">
      <c r="A222" s="256" t="s">
        <v>22</v>
      </c>
      <c r="B222" s="257">
        <f>VLOOKUP(91,'２×Ｍ'!C87:K87,4)</f>
        <v>0</v>
      </c>
      <c r="C222" s="258">
        <f>VLOOKUP(91,'２×Ｍ'!C87:K87,5)</f>
        <v>0</v>
      </c>
      <c r="D222" s="257">
        <f>VLOOKUP(91,'２×Ｍ'!C87:K87,6)</f>
        <v>0</v>
      </c>
      <c r="E222" s="242"/>
      <c r="F222" s="232"/>
      <c r="H222" s="256" t="s">
        <v>22</v>
      </c>
      <c r="I222" s="257">
        <f>VLOOKUP(94,'２×Ｍ'!C90:K90,4)</f>
        <v>0</v>
      </c>
      <c r="J222" s="258">
        <f>VLOOKUP(94,'２×Ｍ'!C90:K90,5)</f>
        <v>0</v>
      </c>
      <c r="K222" s="257">
        <f>VLOOKUP(94,'２×Ｍ'!C90:K90,6)</f>
        <v>0</v>
      </c>
      <c r="L222" s="242"/>
      <c r="M222" s="232"/>
    </row>
    <row r="223" spans="1:13" ht="13" hidden="1" x14ac:dyDescent="0.2">
      <c r="A223" s="256" t="s">
        <v>27</v>
      </c>
      <c r="B223" s="257">
        <f>VLOOKUP(92,'２×Ｍ'!C88:K88,4)</f>
        <v>0</v>
      </c>
      <c r="C223" s="258">
        <f>VLOOKUP(92,'２×Ｍ'!C88:K88,5)</f>
        <v>0</v>
      </c>
      <c r="D223" s="257">
        <f>VLOOKUP(92,'２×Ｍ'!C88:K88,6)</f>
        <v>0</v>
      </c>
      <c r="E223" s="242"/>
      <c r="F223" s="232"/>
      <c r="G223" s="232"/>
      <c r="H223" s="256" t="s">
        <v>27</v>
      </c>
      <c r="I223" s="257">
        <f>VLOOKUP(95,'２×Ｍ'!C91:K91,4)</f>
        <v>0</v>
      </c>
      <c r="J223" s="258">
        <f>VLOOKUP(95,'２×Ｍ'!C91:K91,5)</f>
        <v>0</v>
      </c>
      <c r="K223" s="257">
        <f>VLOOKUP(95,'２×Ｍ'!C91:K91,6)</f>
        <v>0</v>
      </c>
      <c r="L223" s="242"/>
      <c r="M223" s="232"/>
    </row>
    <row r="224" spans="1:13" ht="13.5" hidden="1" thickBot="1" x14ac:dyDescent="0.25">
      <c r="A224" s="248" t="s">
        <v>28</v>
      </c>
      <c r="B224" s="240">
        <f>VLOOKUP(93,'２×Ｍ'!C89:K89,4)</f>
        <v>0</v>
      </c>
      <c r="C224" s="241">
        <f>VLOOKUP(93,'２×Ｍ'!C89:K89,5)</f>
        <v>0</v>
      </c>
      <c r="D224" s="240">
        <f>VLOOKUP(93,'２×Ｍ'!C89:K89,6)</f>
        <v>0</v>
      </c>
      <c r="E224" s="242"/>
      <c r="F224" s="232"/>
      <c r="H224" s="248" t="s">
        <v>28</v>
      </c>
      <c r="I224" s="240">
        <f>VLOOKUP(96,'２×Ｍ'!C92:K92,4)</f>
        <v>0</v>
      </c>
      <c r="J224" s="241">
        <f>VLOOKUP(96,'２×Ｍ'!C92:K92,5)</f>
        <v>0</v>
      </c>
      <c r="K224" s="240">
        <f>VLOOKUP(96,'２×Ｍ'!C92:K92,6)</f>
        <v>0</v>
      </c>
      <c r="L224" s="242"/>
      <c r="M224" s="232"/>
    </row>
    <row r="225" spans="1:13" ht="13.5" hidden="1" thickBot="1" x14ac:dyDescent="0.25">
      <c r="A225" s="232"/>
      <c r="B225" s="232"/>
      <c r="D225" s="232"/>
      <c r="E225" s="232"/>
      <c r="F225" s="232"/>
      <c r="H225" s="232"/>
      <c r="I225" s="232"/>
      <c r="K225" s="232"/>
      <c r="L225" s="232"/>
      <c r="M225" s="232"/>
    </row>
    <row r="226" spans="1:13" ht="13.5" hidden="1" thickBot="1" x14ac:dyDescent="0.25">
      <c r="A226" s="245" t="s">
        <v>23</v>
      </c>
      <c r="B226" s="606">
        <f>VLOOKUP(97,'２×Ｍ'!C93:K93,2)</f>
        <v>0</v>
      </c>
      <c r="C226" s="606"/>
      <c r="D226" s="246" t="s">
        <v>19</v>
      </c>
      <c r="E226" s="607">
        <f>VLOOKUP(97,'２×Ｍ'!C93:K93,9)</f>
        <v>0</v>
      </c>
      <c r="F226" s="608"/>
      <c r="H226" s="245" t="s">
        <v>23</v>
      </c>
      <c r="I226" s="606"/>
      <c r="J226" s="606"/>
      <c r="K226" s="246" t="s">
        <v>19</v>
      </c>
      <c r="L226" s="607"/>
      <c r="M226" s="608"/>
    </row>
    <row r="227" spans="1:13" ht="13" hidden="1" x14ac:dyDescent="0.2">
      <c r="A227" s="249" t="s">
        <v>20</v>
      </c>
      <c r="B227" s="250" t="s">
        <v>24</v>
      </c>
      <c r="C227" s="251" t="s">
        <v>25</v>
      </c>
      <c r="D227" s="250" t="s">
        <v>21</v>
      </c>
      <c r="E227" s="238"/>
      <c r="F227" s="239"/>
      <c r="H227" s="249" t="s">
        <v>20</v>
      </c>
      <c r="I227" s="250" t="s">
        <v>24</v>
      </c>
      <c r="J227" s="251" t="s">
        <v>25</v>
      </c>
      <c r="K227" s="250" t="s">
        <v>21</v>
      </c>
      <c r="L227" s="238"/>
      <c r="M227" s="239"/>
    </row>
    <row r="228" spans="1:13" ht="13" hidden="1" x14ac:dyDescent="0.2">
      <c r="A228" s="256" t="s">
        <v>22</v>
      </c>
      <c r="B228" s="257">
        <f>VLOOKUP(97,'２×Ｍ'!C93:K93,4)</f>
        <v>0</v>
      </c>
      <c r="C228" s="258">
        <f>VLOOKUP(97,'２×Ｍ'!C93:K93,5)</f>
        <v>0</v>
      </c>
      <c r="D228" s="257">
        <f>VLOOKUP(97,'２×Ｍ'!C93:K93,6)</f>
        <v>0</v>
      </c>
      <c r="E228" s="242"/>
      <c r="F228" s="232"/>
      <c r="H228" s="256" t="s">
        <v>22</v>
      </c>
      <c r="I228" s="257"/>
      <c r="J228" s="258"/>
      <c r="K228" s="257"/>
      <c r="L228" s="242"/>
      <c r="M228" s="232"/>
    </row>
    <row r="229" spans="1:13" ht="13" hidden="1" x14ac:dyDescent="0.2">
      <c r="A229" s="256" t="s">
        <v>27</v>
      </c>
      <c r="B229" s="257">
        <f>VLOOKUP(98,'２×Ｍ'!C94:K94,4)</f>
        <v>0</v>
      </c>
      <c r="C229" s="258">
        <f>VLOOKUP(98,'２×Ｍ'!C94:K94,5)</f>
        <v>0</v>
      </c>
      <c r="D229" s="257">
        <f>VLOOKUP(98,'２×Ｍ'!C94:K94,6)</f>
        <v>0</v>
      </c>
      <c r="E229" s="242"/>
      <c r="F229" s="232"/>
      <c r="G229" s="232"/>
      <c r="H229" s="256" t="s">
        <v>27</v>
      </c>
      <c r="I229" s="257"/>
      <c r="J229" s="258"/>
      <c r="K229" s="257"/>
      <c r="L229" s="242"/>
      <c r="M229" s="232"/>
    </row>
    <row r="230" spans="1:13" ht="13.5" hidden="1" thickBot="1" x14ac:dyDescent="0.25">
      <c r="A230" s="248" t="s">
        <v>28</v>
      </c>
      <c r="B230" s="240">
        <f>VLOOKUP(99,'２×Ｍ'!C95:K95,4)</f>
        <v>0</v>
      </c>
      <c r="C230" s="241">
        <f>VLOOKUP(99,'２×Ｍ'!C95:K95,5)</f>
        <v>0</v>
      </c>
      <c r="D230" s="240">
        <f>VLOOKUP(99,'２×Ｍ'!C95:K95,6)</f>
        <v>0</v>
      </c>
      <c r="E230" s="242"/>
      <c r="F230" s="232"/>
      <c r="H230" s="248" t="s">
        <v>28</v>
      </c>
      <c r="I230" s="240"/>
      <c r="J230" s="241"/>
      <c r="K230" s="240"/>
      <c r="L230" s="242"/>
      <c r="M230" s="232"/>
    </row>
    <row r="231" spans="1:13" ht="13" hidden="1" x14ac:dyDescent="0.2">
      <c r="A231" s="232"/>
      <c r="B231" s="232"/>
      <c r="D231" s="232"/>
      <c r="E231" s="232"/>
      <c r="F231" s="232"/>
      <c r="H231" s="232"/>
      <c r="I231" s="232"/>
      <c r="K231" s="232"/>
      <c r="L231" s="232"/>
      <c r="M231" s="232"/>
    </row>
    <row r="232" spans="1:13" ht="13" x14ac:dyDescent="0.2">
      <c r="A232" s="232"/>
      <c r="B232" s="232"/>
      <c r="D232" s="232"/>
      <c r="E232" s="232"/>
      <c r="F232" s="232"/>
      <c r="H232" s="232"/>
      <c r="I232" s="232"/>
      <c r="K232" s="232"/>
      <c r="L232" s="232"/>
      <c r="M232" s="232"/>
    </row>
    <row r="233" spans="1:13" s="243" customFormat="1" ht="16.5" x14ac:dyDescent="0.2">
      <c r="A233" s="243" t="s">
        <v>83</v>
      </c>
      <c r="C233" s="244"/>
      <c r="D233" s="232"/>
      <c r="E233" s="232"/>
      <c r="J233" s="244"/>
    </row>
    <row r="234" spans="1:13" ht="15.75" customHeight="1" thickBot="1" x14ac:dyDescent="0.25"/>
    <row r="235" spans="1:13" ht="15.75" customHeight="1" thickBot="1" x14ac:dyDescent="0.25">
      <c r="A235" s="245" t="s">
        <v>339</v>
      </c>
      <c r="B235" s="606" t="str">
        <f>VLOOKUP(1,'２×Ｗ'!C3:K3,2)</f>
        <v>浜松大平台高校</v>
      </c>
      <c r="C235" s="606"/>
      <c r="D235" s="246" t="s">
        <v>360</v>
      </c>
      <c r="E235" s="607" t="str">
        <f>VLOOKUP(1,'２×Ｗ'!C3:K3,9)</f>
        <v>林高輝</v>
      </c>
      <c r="F235" s="608"/>
      <c r="H235" s="245" t="s">
        <v>361</v>
      </c>
      <c r="I235" s="606" t="str">
        <f>VLOOKUP(4,'２×Ｗ'!C6:K6,2)</f>
        <v>浜松湖南高校</v>
      </c>
      <c r="J235" s="606"/>
      <c r="K235" s="246" t="s">
        <v>19</v>
      </c>
      <c r="L235" s="607" t="str">
        <f>VLOOKUP(4,'２×Ｗ'!C6:K6,9)</f>
        <v>鈴木基弘</v>
      </c>
      <c r="M235" s="608"/>
    </row>
    <row r="236" spans="1:13" ht="15.75" customHeight="1" x14ac:dyDescent="0.2">
      <c r="A236" s="249" t="s">
        <v>20</v>
      </c>
      <c r="B236" s="250" t="s">
        <v>24</v>
      </c>
      <c r="C236" s="251" t="s">
        <v>25</v>
      </c>
      <c r="D236" s="250" t="s">
        <v>21</v>
      </c>
      <c r="E236" s="238"/>
      <c r="F236" s="239"/>
      <c r="H236" s="249" t="s">
        <v>20</v>
      </c>
      <c r="I236" s="250" t="s">
        <v>24</v>
      </c>
      <c r="J236" s="251" t="s">
        <v>25</v>
      </c>
      <c r="K236" s="250" t="s">
        <v>21</v>
      </c>
      <c r="L236" s="238"/>
      <c r="M236" s="239"/>
    </row>
    <row r="237" spans="1:13" ht="15.75" customHeight="1" x14ac:dyDescent="0.2">
      <c r="A237" s="256" t="s">
        <v>370</v>
      </c>
      <c r="B237" s="257" t="str">
        <f>VLOOKUP(1,'２×Ｗ'!C3:K3,4)</f>
        <v>瀧澤</v>
      </c>
      <c r="C237" s="258" t="str">
        <f>VLOOKUP(1,'２×Ｗ'!C3:K3,5)</f>
        <v>明花</v>
      </c>
      <c r="D237" s="257">
        <f>VLOOKUP(1,'２×Ｗ'!C3:K3,6)</f>
        <v>3</v>
      </c>
      <c r="E237" s="242"/>
      <c r="F237" s="232"/>
      <c r="H237" s="256" t="s">
        <v>22</v>
      </c>
      <c r="I237" s="257" t="str">
        <f>VLOOKUP(4,'２×Ｗ'!C6:K6,4)</f>
        <v>小野</v>
      </c>
      <c r="J237" s="258" t="str">
        <f>VLOOKUP(4,'２×Ｗ'!C6:K6,5)</f>
        <v>志穂子</v>
      </c>
      <c r="K237" s="257">
        <f>VLOOKUP(4,'２×Ｗ'!C6:K6,6)</f>
        <v>3</v>
      </c>
      <c r="L237" s="242"/>
      <c r="M237" s="232"/>
    </row>
    <row r="238" spans="1:13" ht="15.75" customHeight="1" x14ac:dyDescent="0.2">
      <c r="A238" s="256" t="s">
        <v>371</v>
      </c>
      <c r="B238" s="257" t="str">
        <f>VLOOKUP(2,'２×Ｗ'!C4:K4,4)</f>
        <v>松川</v>
      </c>
      <c r="C238" s="258" t="str">
        <f>VLOOKUP(2,'２×Ｗ'!C4:K4,5)</f>
        <v>玲菜</v>
      </c>
      <c r="D238" s="257">
        <f>VLOOKUP(2,'２×Ｗ'!C4:K4,6)</f>
        <v>3</v>
      </c>
      <c r="E238" s="242"/>
      <c r="F238" s="232"/>
      <c r="G238" s="232"/>
      <c r="H238" s="256" t="s">
        <v>27</v>
      </c>
      <c r="I238" s="257" t="str">
        <f>VLOOKUP(5,'２×Ｗ'!C7:K7,4)</f>
        <v>濱田</v>
      </c>
      <c r="J238" s="258" t="str">
        <f>VLOOKUP(5,'２×Ｗ'!C7:K7,5)</f>
        <v>紫希</v>
      </c>
      <c r="K238" s="257">
        <f>VLOOKUP(5,'２×Ｗ'!C7:K7,6)</f>
        <v>3</v>
      </c>
      <c r="L238" s="242"/>
      <c r="M238" s="232"/>
    </row>
    <row r="239" spans="1:13" ht="15.75" customHeight="1" thickBot="1" x14ac:dyDescent="0.25">
      <c r="A239" s="248" t="s">
        <v>372</v>
      </c>
      <c r="B239" s="240" t="str">
        <f>VLOOKUP(3,'２×Ｗ'!C5:K5,4)</f>
        <v>関</v>
      </c>
      <c r="C239" s="241" t="str">
        <f>VLOOKUP(3,'２×Ｗ'!C5:K5,5)</f>
        <v>涼帆</v>
      </c>
      <c r="D239" s="240">
        <f>VLOOKUP(3,'２×Ｗ'!C5:K5,6)</f>
        <v>2</v>
      </c>
      <c r="E239" s="242"/>
      <c r="F239" s="232"/>
      <c r="H239" s="248" t="s">
        <v>28</v>
      </c>
      <c r="I239" s="240" t="str">
        <f>VLOOKUP(6,'２×Ｗ'!C8:K8,4)</f>
        <v>加藤</v>
      </c>
      <c r="J239" s="241" t="str">
        <f>VLOOKUP(6,'２×Ｗ'!C8:K8,5)</f>
        <v>旭葉</v>
      </c>
      <c r="K239" s="240">
        <f>VLOOKUP(6,'２×Ｗ'!C8:K8,6)</f>
        <v>3</v>
      </c>
      <c r="L239" s="242"/>
      <c r="M239" s="232"/>
    </row>
    <row r="240" spans="1:13" ht="15.75" customHeight="1" thickBot="1" x14ac:dyDescent="0.25"/>
    <row r="241" spans="1:13" ht="15.75" customHeight="1" thickBot="1" x14ac:dyDescent="0.25">
      <c r="A241" s="245" t="s">
        <v>23</v>
      </c>
      <c r="B241" s="606" t="str">
        <f>VLOOKUP(7,'２×Ｗ'!C9:K9,2)</f>
        <v>浜松北高校</v>
      </c>
      <c r="C241" s="606"/>
      <c r="D241" s="246" t="s">
        <v>19</v>
      </c>
      <c r="E241" s="607" t="str">
        <f>VLOOKUP(7,'２×Ｗ'!C9:K9,9)</f>
        <v>山本幸生</v>
      </c>
      <c r="F241" s="608"/>
      <c r="H241" s="245" t="s">
        <v>23</v>
      </c>
      <c r="I241" s="606" t="str">
        <f>VLOOKUP(10,'２×Ｗ'!C12:K12,2)</f>
        <v>浜松西高校</v>
      </c>
      <c r="J241" s="606"/>
      <c r="K241" s="246" t="s">
        <v>19</v>
      </c>
      <c r="L241" s="607" t="str">
        <f>VLOOKUP(10,'２×Ｗ'!C12:K12,9)</f>
        <v>上西智紀</v>
      </c>
      <c r="M241" s="608"/>
    </row>
    <row r="242" spans="1:13" ht="15.75" customHeight="1" x14ac:dyDescent="0.2">
      <c r="A242" s="249" t="s">
        <v>20</v>
      </c>
      <c r="B242" s="250" t="s">
        <v>24</v>
      </c>
      <c r="C242" s="251" t="s">
        <v>25</v>
      </c>
      <c r="D242" s="250" t="s">
        <v>21</v>
      </c>
      <c r="E242" s="238"/>
      <c r="F242" s="239"/>
      <c r="H242" s="249" t="s">
        <v>20</v>
      </c>
      <c r="I242" s="250" t="s">
        <v>24</v>
      </c>
      <c r="J242" s="251" t="s">
        <v>25</v>
      </c>
      <c r="K242" s="250" t="s">
        <v>21</v>
      </c>
      <c r="L242" s="238"/>
      <c r="M242" s="239"/>
    </row>
    <row r="243" spans="1:13" ht="15.75" customHeight="1" x14ac:dyDescent="0.2">
      <c r="A243" s="256" t="s">
        <v>22</v>
      </c>
      <c r="B243" s="257" t="str">
        <f>VLOOKUP(7,'２×Ｗ'!C9:K9,4)</f>
        <v>北野</v>
      </c>
      <c r="C243" s="258" t="str">
        <f>VLOOKUP(7,'２×Ｗ'!C9:K9,5)</f>
        <v>利歩</v>
      </c>
      <c r="D243" s="257">
        <f>VLOOKUP(7,'２×Ｗ'!C9:K9,6)</f>
        <v>2</v>
      </c>
      <c r="E243" s="242"/>
      <c r="F243" s="232"/>
      <c r="H243" s="256" t="s">
        <v>22</v>
      </c>
      <c r="I243" s="257" t="str">
        <f>VLOOKUP(10,'２×Ｗ'!C12:K12,4)</f>
        <v>小笠原</v>
      </c>
      <c r="J243" s="258" t="str">
        <f>VLOOKUP(10,'２×Ｗ'!C12:K12,5)</f>
        <v>実玖</v>
      </c>
      <c r="K243" s="257">
        <f>VLOOKUP(10,'２×Ｗ'!C12:K12,6)</f>
        <v>3</v>
      </c>
      <c r="L243" s="242"/>
      <c r="M243" s="232"/>
    </row>
    <row r="244" spans="1:13" ht="15.75" customHeight="1" x14ac:dyDescent="0.2">
      <c r="A244" s="256" t="s">
        <v>27</v>
      </c>
      <c r="B244" s="257" t="str">
        <f>VLOOKUP(8,'２×Ｗ'!C10:K10,4)</f>
        <v>岡本</v>
      </c>
      <c r="C244" s="258" t="str">
        <f>VLOOKUP(8,'２×Ｗ'!C10:K10,5)</f>
        <v>恵利花</v>
      </c>
      <c r="D244" s="257">
        <f>VLOOKUP(8,'２×Ｗ'!C10:K10,6)</f>
        <v>2</v>
      </c>
      <c r="E244" s="242"/>
      <c r="F244" s="232"/>
      <c r="G244" s="232"/>
      <c r="H244" s="256" t="s">
        <v>27</v>
      </c>
      <c r="I244" s="257" t="str">
        <f>VLOOKUP(11,'２×Ｗ'!C13:K13,4)</f>
        <v>袴田</v>
      </c>
      <c r="J244" s="258" t="str">
        <f>VLOOKUP(11,'２×Ｗ'!C13:K13,5)</f>
        <v>真央</v>
      </c>
      <c r="K244" s="257">
        <f>VLOOKUP(11,'２×Ｗ'!C13:K13,6)</f>
        <v>3</v>
      </c>
      <c r="L244" s="242"/>
      <c r="M244" s="232"/>
    </row>
    <row r="245" spans="1:13" ht="15.75" customHeight="1" thickBot="1" x14ac:dyDescent="0.25">
      <c r="A245" s="248" t="s">
        <v>28</v>
      </c>
      <c r="B245" s="240" t="str">
        <f>VLOOKUP(9,'２×Ｗ'!C11:K11,4)</f>
        <v>牛田</v>
      </c>
      <c r="C245" s="241" t="str">
        <f>VLOOKUP(9,'２×Ｗ'!C11:K11,5)</f>
        <v>千晴</v>
      </c>
      <c r="D245" s="240">
        <f>VLOOKUP(9,'２×Ｗ'!C11:K11,6)</f>
        <v>1</v>
      </c>
      <c r="E245" s="242"/>
      <c r="F245" s="232"/>
      <c r="H245" s="248" t="s">
        <v>28</v>
      </c>
      <c r="I245" s="240" t="str">
        <f>VLOOKUP(12,'２×Ｗ'!C14:K14,4)</f>
        <v>宮澤</v>
      </c>
      <c r="J245" s="241" t="str">
        <f>VLOOKUP(12,'２×Ｗ'!C14:K14,5)</f>
        <v>心菜</v>
      </c>
      <c r="K245" s="240">
        <f>VLOOKUP(12,'２×Ｗ'!C14:K14,6)</f>
        <v>2</v>
      </c>
      <c r="L245" s="242"/>
      <c r="M245" s="232"/>
    </row>
    <row r="246" spans="1:13" ht="15.75" customHeight="1" thickBot="1" x14ac:dyDescent="0.25"/>
    <row r="247" spans="1:13" ht="15.75" customHeight="1" thickBot="1" x14ac:dyDescent="0.25">
      <c r="A247" s="245" t="s">
        <v>23</v>
      </c>
      <c r="B247" s="606">
        <f>VLOOKUP(13,'２×Ｗ'!C15:K15,2)</f>
        <v>0</v>
      </c>
      <c r="C247" s="606"/>
      <c r="D247" s="246" t="s">
        <v>19</v>
      </c>
      <c r="E247" s="607">
        <f>VLOOKUP(13,'２×Ｗ'!C15:K15,9)</f>
        <v>0</v>
      </c>
      <c r="F247" s="608"/>
      <c r="H247" s="245" t="s">
        <v>23</v>
      </c>
      <c r="I247" s="606">
        <f>VLOOKUP(16,'２×Ｗ'!C18:K18,2)</f>
        <v>0</v>
      </c>
      <c r="J247" s="606"/>
      <c r="K247" s="246" t="s">
        <v>19</v>
      </c>
      <c r="L247" s="607">
        <f>VLOOKUP(16,'２×Ｗ'!C18:K18,9)</f>
        <v>0</v>
      </c>
      <c r="M247" s="608"/>
    </row>
    <row r="248" spans="1:13" ht="15.75" customHeight="1" x14ac:dyDescent="0.2">
      <c r="A248" s="249" t="s">
        <v>20</v>
      </c>
      <c r="B248" s="250" t="s">
        <v>24</v>
      </c>
      <c r="C248" s="251" t="s">
        <v>25</v>
      </c>
      <c r="D248" s="250" t="s">
        <v>21</v>
      </c>
      <c r="E248" s="238"/>
      <c r="F248" s="239"/>
      <c r="H248" s="249" t="s">
        <v>20</v>
      </c>
      <c r="I248" s="250" t="s">
        <v>24</v>
      </c>
      <c r="J248" s="251" t="s">
        <v>25</v>
      </c>
      <c r="K248" s="250" t="s">
        <v>21</v>
      </c>
      <c r="L248" s="238"/>
      <c r="M248" s="239"/>
    </row>
    <row r="249" spans="1:13" ht="15.75" customHeight="1" x14ac:dyDescent="0.2">
      <c r="A249" s="256" t="s">
        <v>22</v>
      </c>
      <c r="B249" s="257">
        <f>VLOOKUP(13,'２×Ｗ'!C15:K15,4)</f>
        <v>0</v>
      </c>
      <c r="C249" s="258">
        <f>VLOOKUP(13,'２×Ｗ'!C15:K15,5)</f>
        <v>0</v>
      </c>
      <c r="D249" s="257">
        <f>VLOOKUP(13,'２×Ｗ'!C15:K15,6)</f>
        <v>0</v>
      </c>
      <c r="E249" s="242"/>
      <c r="F249" s="232"/>
      <c r="H249" s="256" t="s">
        <v>22</v>
      </c>
      <c r="I249" s="257">
        <f>VLOOKUP(16,'２×Ｗ'!C18:K18,4)</f>
        <v>0</v>
      </c>
      <c r="J249" s="258">
        <f>VLOOKUP(16,'２×Ｗ'!C18:K18,5)</f>
        <v>0</v>
      </c>
      <c r="K249" s="257">
        <f>VLOOKUP(16,'２×Ｗ'!C18:K18,6)</f>
        <v>0</v>
      </c>
      <c r="L249" s="242"/>
      <c r="M249" s="232"/>
    </row>
    <row r="250" spans="1:13" ht="15.75" customHeight="1" x14ac:dyDescent="0.2">
      <c r="A250" s="256" t="s">
        <v>27</v>
      </c>
      <c r="B250" s="257">
        <f>VLOOKUP(14,'２×Ｗ'!C16:K16,4)</f>
        <v>0</v>
      </c>
      <c r="C250" s="258">
        <f>VLOOKUP(14,'２×Ｗ'!C16:K16,5)</f>
        <v>0</v>
      </c>
      <c r="D250" s="257">
        <f>VLOOKUP(14,'２×Ｗ'!C16:K16,6)</f>
        <v>0</v>
      </c>
      <c r="E250" s="242"/>
      <c r="F250" s="232"/>
      <c r="G250" s="232"/>
      <c r="H250" s="256" t="s">
        <v>27</v>
      </c>
      <c r="I250" s="257">
        <f>VLOOKUP(17,'２×Ｗ'!C19:K19,4)</f>
        <v>0</v>
      </c>
      <c r="J250" s="258">
        <f>VLOOKUP(17,'２×Ｗ'!C19:K19,5)</f>
        <v>0</v>
      </c>
      <c r="K250" s="257">
        <f>VLOOKUP(17,'２×Ｗ'!C19:K19,6)</f>
        <v>0</v>
      </c>
      <c r="L250" s="242"/>
      <c r="M250" s="232"/>
    </row>
    <row r="251" spans="1:13" ht="15.75" customHeight="1" thickBot="1" x14ac:dyDescent="0.25">
      <c r="A251" s="248" t="s">
        <v>28</v>
      </c>
      <c r="B251" s="240">
        <f>VLOOKUP(15,'２×Ｗ'!C17:K17,4)</f>
        <v>0</v>
      </c>
      <c r="C251" s="241">
        <f>VLOOKUP(15,'２×Ｗ'!C17:K17,5)</f>
        <v>0</v>
      </c>
      <c r="D251" s="240">
        <f>VLOOKUP(15,'２×Ｗ'!C17:K17,6)</f>
        <v>0</v>
      </c>
      <c r="E251" s="242"/>
      <c r="F251" s="232"/>
      <c r="H251" s="248" t="s">
        <v>28</v>
      </c>
      <c r="I251" s="240">
        <f>VLOOKUP(18,'２×Ｗ'!C20:K20,4)</f>
        <v>0</v>
      </c>
      <c r="J251" s="241">
        <f>VLOOKUP(18,'２×Ｗ'!C20:K20,5)</f>
        <v>0</v>
      </c>
      <c r="K251" s="240">
        <f>VLOOKUP(18,'２×Ｗ'!C20:K20,6)</f>
        <v>0</v>
      </c>
      <c r="L251" s="242"/>
      <c r="M251" s="232"/>
    </row>
    <row r="252" spans="1:13" ht="15.75" hidden="1" customHeight="1" x14ac:dyDescent="0.2">
      <c r="A252" s="232"/>
      <c r="B252" s="232"/>
      <c r="D252" s="232"/>
      <c r="E252" s="232"/>
      <c r="F252" s="232"/>
      <c r="H252" s="232"/>
      <c r="I252" s="232"/>
      <c r="K252" s="232"/>
      <c r="L252" s="232"/>
      <c r="M252" s="232"/>
    </row>
    <row r="253" spans="1:13" ht="15.75" hidden="1" customHeight="1" thickBot="1" x14ac:dyDescent="0.25">
      <c r="A253" s="245" t="s">
        <v>23</v>
      </c>
      <c r="B253" s="606">
        <f>VLOOKUP(19,'２×Ｗ'!C21:K21,2)</f>
        <v>0</v>
      </c>
      <c r="C253" s="606"/>
      <c r="D253" s="246" t="s">
        <v>19</v>
      </c>
      <c r="E253" s="607">
        <f>VLOOKUP(19,'２×Ｗ'!C21:K21,9)</f>
        <v>0</v>
      </c>
      <c r="F253" s="608"/>
      <c r="H253" s="245" t="s">
        <v>23</v>
      </c>
      <c r="I253" s="606">
        <f>VLOOKUP(22,'２×Ｗ'!C24:K24,2)</f>
        <v>0</v>
      </c>
      <c r="J253" s="606"/>
      <c r="K253" s="246" t="s">
        <v>19</v>
      </c>
      <c r="L253" s="607">
        <f>VLOOKUP(22,'２×Ｗ'!C24:K24,9)</f>
        <v>0</v>
      </c>
      <c r="M253" s="608"/>
    </row>
    <row r="254" spans="1:13" ht="15.75" hidden="1" customHeight="1" x14ac:dyDescent="0.2">
      <c r="A254" s="249" t="s">
        <v>20</v>
      </c>
      <c r="B254" s="250" t="s">
        <v>24</v>
      </c>
      <c r="C254" s="251" t="s">
        <v>25</v>
      </c>
      <c r="D254" s="250" t="s">
        <v>21</v>
      </c>
      <c r="E254" s="238"/>
      <c r="F254" s="239"/>
      <c r="H254" s="249" t="s">
        <v>20</v>
      </c>
      <c r="I254" s="250" t="s">
        <v>24</v>
      </c>
      <c r="J254" s="251" t="s">
        <v>25</v>
      </c>
      <c r="K254" s="250" t="s">
        <v>21</v>
      </c>
      <c r="L254" s="238"/>
      <c r="M254" s="239"/>
    </row>
    <row r="255" spans="1:13" ht="15.75" hidden="1" customHeight="1" x14ac:dyDescent="0.2">
      <c r="A255" s="256" t="s">
        <v>22</v>
      </c>
      <c r="B255" s="257">
        <f>VLOOKUP(19,'２×Ｗ'!C21:K21,4)</f>
        <v>0</v>
      </c>
      <c r="C255" s="258">
        <f>VLOOKUP(19,'２×Ｗ'!C21:K21,5)</f>
        <v>0</v>
      </c>
      <c r="D255" s="257">
        <f>VLOOKUP(19,'２×Ｗ'!C21:K21,6)</f>
        <v>0</v>
      </c>
      <c r="E255" s="242"/>
      <c r="F255" s="232"/>
      <c r="H255" s="256" t="s">
        <v>22</v>
      </c>
      <c r="I255" s="257">
        <f>VLOOKUP(22,'２×Ｗ'!C24:K24,4)</f>
        <v>0</v>
      </c>
      <c r="J255" s="258">
        <f>VLOOKUP(22,'２×Ｗ'!C24:K24,5)</f>
        <v>0</v>
      </c>
      <c r="K255" s="257">
        <f>VLOOKUP(22,'２×Ｗ'!C24:K24,6)</f>
        <v>0</v>
      </c>
      <c r="L255" s="242"/>
      <c r="M255" s="232"/>
    </row>
    <row r="256" spans="1:13" ht="15.75" hidden="1" customHeight="1" x14ac:dyDescent="0.2">
      <c r="A256" s="256" t="s">
        <v>27</v>
      </c>
      <c r="B256" s="257">
        <f>VLOOKUP(20,'２×Ｗ'!C22:K22,4)</f>
        <v>0</v>
      </c>
      <c r="C256" s="258">
        <f>VLOOKUP(20,'２×Ｗ'!C22:K22,5)</f>
        <v>0</v>
      </c>
      <c r="D256" s="257">
        <f>VLOOKUP(20,'２×Ｗ'!C22:K22,6)</f>
        <v>0</v>
      </c>
      <c r="E256" s="242"/>
      <c r="F256" s="232"/>
      <c r="G256" s="232"/>
      <c r="H256" s="256" t="s">
        <v>27</v>
      </c>
      <c r="I256" s="257">
        <f>VLOOKUP(23,'２×Ｗ'!C25:K25,4)</f>
        <v>0</v>
      </c>
      <c r="J256" s="258">
        <f>VLOOKUP(23,'２×Ｗ'!C25:K25,5)</f>
        <v>0</v>
      </c>
      <c r="K256" s="257">
        <f>VLOOKUP(23,'２×Ｗ'!C25:K25,6)</f>
        <v>0</v>
      </c>
      <c r="L256" s="242"/>
      <c r="M256" s="232"/>
    </row>
    <row r="257" spans="1:13" ht="15.75" hidden="1" customHeight="1" thickBot="1" x14ac:dyDescent="0.25">
      <c r="A257" s="248" t="s">
        <v>28</v>
      </c>
      <c r="B257" s="240">
        <f>VLOOKUP(21,'２×Ｗ'!C23:K23,4)</f>
        <v>0</v>
      </c>
      <c r="C257" s="241">
        <f>VLOOKUP(21,'２×Ｗ'!C23:K23,5)</f>
        <v>0</v>
      </c>
      <c r="D257" s="240">
        <f>VLOOKUP(21,'２×Ｗ'!C23:K23,6)</f>
        <v>0</v>
      </c>
      <c r="E257" s="242"/>
      <c r="F257" s="232"/>
      <c r="H257" s="248" t="s">
        <v>28</v>
      </c>
      <c r="I257" s="240">
        <f>VLOOKUP(24,'２×Ｗ'!C26:K26,4)</f>
        <v>0</v>
      </c>
      <c r="J257" s="241">
        <f>VLOOKUP(24,'２×Ｗ'!C26:K26,5)</f>
        <v>0</v>
      </c>
      <c r="K257" s="240">
        <f>VLOOKUP(24,'２×Ｗ'!C26:K26,6)</f>
        <v>0</v>
      </c>
      <c r="L257" s="242"/>
      <c r="M257" s="232"/>
    </row>
    <row r="258" spans="1:13" ht="15.75" hidden="1" customHeight="1" thickBot="1" x14ac:dyDescent="0.25">
      <c r="A258" s="232"/>
      <c r="H258" s="232"/>
    </row>
    <row r="259" spans="1:13" ht="15.75" hidden="1" customHeight="1" thickBot="1" x14ac:dyDescent="0.25">
      <c r="A259" s="245" t="s">
        <v>23</v>
      </c>
      <c r="B259" s="606">
        <f>VLOOKUP(25,'２×Ｗ'!C27:K27,2)</f>
        <v>0</v>
      </c>
      <c r="C259" s="606"/>
      <c r="D259" s="246" t="s">
        <v>19</v>
      </c>
      <c r="E259" s="607">
        <f>VLOOKUP(25,'２×Ｗ'!C27:K27,9)</f>
        <v>0</v>
      </c>
      <c r="F259" s="608"/>
      <c r="H259" s="245" t="s">
        <v>23</v>
      </c>
      <c r="I259" s="606">
        <f>VLOOKUP(28,'２×Ｗ'!C30:K30,2)</f>
        <v>0</v>
      </c>
      <c r="J259" s="606"/>
      <c r="K259" s="246" t="s">
        <v>19</v>
      </c>
      <c r="L259" s="607">
        <f>VLOOKUP(28,'２×Ｗ'!C30:K30,9)</f>
        <v>0</v>
      </c>
      <c r="M259" s="608"/>
    </row>
    <row r="260" spans="1:13" ht="15.75" hidden="1" customHeight="1" x14ac:dyDescent="0.2">
      <c r="A260" s="249" t="s">
        <v>20</v>
      </c>
      <c r="B260" s="250" t="s">
        <v>24</v>
      </c>
      <c r="C260" s="251" t="s">
        <v>25</v>
      </c>
      <c r="D260" s="250" t="s">
        <v>21</v>
      </c>
      <c r="E260" s="238"/>
      <c r="F260" s="239"/>
      <c r="H260" s="249" t="s">
        <v>20</v>
      </c>
      <c r="I260" s="250" t="s">
        <v>24</v>
      </c>
      <c r="J260" s="251" t="s">
        <v>25</v>
      </c>
      <c r="K260" s="250" t="s">
        <v>21</v>
      </c>
      <c r="L260" s="238"/>
      <c r="M260" s="239"/>
    </row>
    <row r="261" spans="1:13" ht="15.75" hidden="1" customHeight="1" x14ac:dyDescent="0.2">
      <c r="A261" s="256" t="s">
        <v>22</v>
      </c>
      <c r="B261" s="257">
        <f>VLOOKUP(25,'２×Ｗ'!C27:K27,4)</f>
        <v>0</v>
      </c>
      <c r="C261" s="258">
        <f>VLOOKUP(25,'２×Ｗ'!C27:K27,5)</f>
        <v>0</v>
      </c>
      <c r="D261" s="257">
        <f>VLOOKUP(25,'２×Ｗ'!C27:K27,6)</f>
        <v>0</v>
      </c>
      <c r="E261" s="242"/>
      <c r="F261" s="232"/>
      <c r="H261" s="256" t="s">
        <v>22</v>
      </c>
      <c r="I261" s="257">
        <f>VLOOKUP(28,'２×Ｗ'!C30:K30,4)</f>
        <v>0</v>
      </c>
      <c r="J261" s="258">
        <f>VLOOKUP(28,'２×Ｗ'!C30:K30,5)</f>
        <v>0</v>
      </c>
      <c r="K261" s="257">
        <f>VLOOKUP(28,'２×Ｗ'!C30:K30,6)</f>
        <v>0</v>
      </c>
      <c r="L261" s="242"/>
      <c r="M261" s="232"/>
    </row>
    <row r="262" spans="1:13" ht="15.75" hidden="1" customHeight="1" x14ac:dyDescent="0.2">
      <c r="A262" s="256" t="s">
        <v>27</v>
      </c>
      <c r="B262" s="257">
        <f>VLOOKUP(26,'２×Ｗ'!C28:K28,4)</f>
        <v>0</v>
      </c>
      <c r="C262" s="258">
        <f>VLOOKUP(26,'２×Ｗ'!C28:K28,5)</f>
        <v>0</v>
      </c>
      <c r="D262" s="257">
        <f>VLOOKUP(26,'２×Ｗ'!C28:K28,6)</f>
        <v>0</v>
      </c>
      <c r="E262" s="242"/>
      <c r="F262" s="232"/>
      <c r="G262" s="232"/>
      <c r="H262" s="256" t="s">
        <v>27</v>
      </c>
      <c r="I262" s="257">
        <f>VLOOKUP(29,'２×Ｗ'!C31:K31,4)</f>
        <v>0</v>
      </c>
      <c r="J262" s="258">
        <f>VLOOKUP(29,'２×Ｗ'!C31:K31,5)</f>
        <v>0</v>
      </c>
      <c r="K262" s="257">
        <f>VLOOKUP(29,'２×Ｗ'!C31:K31,6)</f>
        <v>0</v>
      </c>
      <c r="L262" s="242"/>
      <c r="M262" s="232"/>
    </row>
    <row r="263" spans="1:13" ht="15.75" hidden="1" customHeight="1" thickBot="1" x14ac:dyDescent="0.25">
      <c r="A263" s="248" t="s">
        <v>28</v>
      </c>
      <c r="B263" s="240">
        <f>VLOOKUP(27,'２×Ｗ'!C29:K29,4)</f>
        <v>0</v>
      </c>
      <c r="C263" s="241">
        <f>VLOOKUP(27,'２×Ｗ'!C29:K29,5)</f>
        <v>0</v>
      </c>
      <c r="D263" s="240">
        <f>VLOOKUP(27,'２×Ｗ'!C29:K29,6)</f>
        <v>0</v>
      </c>
      <c r="E263" s="242"/>
      <c r="F263" s="232"/>
      <c r="H263" s="248" t="s">
        <v>28</v>
      </c>
      <c r="I263" s="240">
        <f>VLOOKUP(30,'２×Ｗ'!C32:K32,4)</f>
        <v>0</v>
      </c>
      <c r="J263" s="241">
        <f>VLOOKUP(30,'２×Ｗ'!C32:K32,5)</f>
        <v>0</v>
      </c>
      <c r="K263" s="240">
        <f>VLOOKUP(30,'２×Ｗ'!C32:K32,6)</f>
        <v>0</v>
      </c>
      <c r="L263" s="242"/>
      <c r="M263" s="232"/>
    </row>
    <row r="264" spans="1:13" ht="15.75" hidden="1" customHeight="1" thickBot="1" x14ac:dyDescent="0.25"/>
    <row r="265" spans="1:13" ht="15.75" hidden="1" customHeight="1" thickBot="1" x14ac:dyDescent="0.25">
      <c r="A265" s="245" t="s">
        <v>23</v>
      </c>
      <c r="B265" s="606">
        <f>VLOOKUP(31,'２×Ｗ'!C33:K33,2)</f>
        <v>0</v>
      </c>
      <c r="C265" s="606"/>
      <c r="D265" s="246" t="s">
        <v>19</v>
      </c>
      <c r="E265" s="607">
        <f>VLOOKUP(31,'２×Ｗ'!C33:K33,9)</f>
        <v>0</v>
      </c>
      <c r="F265" s="608"/>
      <c r="H265" s="245" t="s">
        <v>23</v>
      </c>
      <c r="I265" s="606">
        <f>VLOOKUP(34,'２×Ｗ'!C36:K36,2)</f>
        <v>0</v>
      </c>
      <c r="J265" s="606"/>
      <c r="K265" s="246" t="s">
        <v>19</v>
      </c>
      <c r="L265" s="607">
        <f>VLOOKUP(34,'２×Ｗ'!C36:K36,9)</f>
        <v>0</v>
      </c>
      <c r="M265" s="608"/>
    </row>
    <row r="266" spans="1:13" ht="15.75" hidden="1" customHeight="1" x14ac:dyDescent="0.2">
      <c r="A266" s="249" t="s">
        <v>20</v>
      </c>
      <c r="B266" s="250" t="s">
        <v>24</v>
      </c>
      <c r="C266" s="251" t="s">
        <v>25</v>
      </c>
      <c r="D266" s="250" t="s">
        <v>21</v>
      </c>
      <c r="E266" s="238"/>
      <c r="F266" s="239"/>
      <c r="H266" s="249" t="s">
        <v>20</v>
      </c>
      <c r="I266" s="250" t="s">
        <v>24</v>
      </c>
      <c r="J266" s="251" t="s">
        <v>25</v>
      </c>
      <c r="K266" s="250" t="s">
        <v>21</v>
      </c>
      <c r="L266" s="238"/>
      <c r="M266" s="239"/>
    </row>
    <row r="267" spans="1:13" ht="15.75" hidden="1" customHeight="1" x14ac:dyDescent="0.2">
      <c r="A267" s="256" t="s">
        <v>22</v>
      </c>
      <c r="B267" s="257">
        <f>VLOOKUP(31,'２×Ｗ'!C33:K33,4)</f>
        <v>0</v>
      </c>
      <c r="C267" s="258">
        <f>VLOOKUP(31,'２×Ｗ'!C33:K33,5)</f>
        <v>0</v>
      </c>
      <c r="D267" s="257">
        <f>VLOOKUP(31,'２×Ｗ'!C33:K33,6)</f>
        <v>0</v>
      </c>
      <c r="E267" s="242"/>
      <c r="F267" s="232"/>
      <c r="H267" s="256" t="s">
        <v>22</v>
      </c>
      <c r="I267" s="257">
        <f>VLOOKUP(34,'２×Ｗ'!C36:K36,4)</f>
        <v>0</v>
      </c>
      <c r="J267" s="258">
        <f>VLOOKUP(34,'２×Ｗ'!C36:K36,5)</f>
        <v>0</v>
      </c>
      <c r="K267" s="257">
        <f>VLOOKUP(34,'２×Ｗ'!C36:K36,6)</f>
        <v>0</v>
      </c>
      <c r="L267" s="242"/>
      <c r="M267" s="232"/>
    </row>
    <row r="268" spans="1:13" ht="15.75" hidden="1" customHeight="1" x14ac:dyDescent="0.2">
      <c r="A268" s="256" t="s">
        <v>27</v>
      </c>
      <c r="B268" s="257">
        <f>VLOOKUP(32,'２×Ｗ'!C34:K34,4)</f>
        <v>0</v>
      </c>
      <c r="C268" s="258">
        <f>VLOOKUP(32,'２×Ｗ'!C34:K34,5)</f>
        <v>0</v>
      </c>
      <c r="D268" s="257">
        <f>VLOOKUP(32,'２×Ｗ'!C34:K34,6)</f>
        <v>0</v>
      </c>
      <c r="E268" s="242"/>
      <c r="F268" s="232"/>
      <c r="G268" s="232"/>
      <c r="H268" s="256" t="s">
        <v>27</v>
      </c>
      <c r="I268" s="257">
        <f>VLOOKUP(35,'２×Ｗ'!C37:K37,4)</f>
        <v>0</v>
      </c>
      <c r="J268" s="258">
        <f>VLOOKUP(35,'２×Ｗ'!C37:K37,5)</f>
        <v>0</v>
      </c>
      <c r="K268" s="257">
        <f>VLOOKUP(35,'２×Ｗ'!C37:K37,6)</f>
        <v>0</v>
      </c>
      <c r="L268" s="242"/>
      <c r="M268" s="232"/>
    </row>
    <row r="269" spans="1:13" ht="15.75" hidden="1" customHeight="1" thickBot="1" x14ac:dyDescent="0.25">
      <c r="A269" s="248" t="s">
        <v>28</v>
      </c>
      <c r="B269" s="240">
        <f>VLOOKUP(33,'２×Ｗ'!C35:K35,4)</f>
        <v>0</v>
      </c>
      <c r="C269" s="241">
        <f>VLOOKUP(33,'２×Ｗ'!C35:K35,5)</f>
        <v>0</v>
      </c>
      <c r="D269" s="240">
        <f>VLOOKUP(33,'２×Ｗ'!C35:K35,6)</f>
        <v>0</v>
      </c>
      <c r="E269" s="242"/>
      <c r="F269" s="232"/>
      <c r="H269" s="248" t="s">
        <v>28</v>
      </c>
      <c r="I269" s="240">
        <f>VLOOKUP(36,'２×Ｗ'!C38:K38,4)</f>
        <v>0</v>
      </c>
      <c r="J269" s="241">
        <f>VLOOKUP(36,'２×Ｗ'!C38:K38,5)</f>
        <v>0</v>
      </c>
      <c r="K269" s="240">
        <f>VLOOKUP(36,'２×Ｗ'!C38:K38,6)</f>
        <v>0</v>
      </c>
      <c r="L269" s="242"/>
      <c r="M269" s="232"/>
    </row>
    <row r="270" spans="1:13" ht="15.75" hidden="1" customHeight="1" thickBot="1" x14ac:dyDescent="0.25">
      <c r="A270" s="232"/>
      <c r="B270" s="232"/>
      <c r="D270" s="232"/>
      <c r="E270" s="232"/>
      <c r="F270" s="232"/>
      <c r="H270" s="232"/>
      <c r="I270" s="232"/>
      <c r="K270" s="232"/>
      <c r="L270" s="232"/>
      <c r="M270" s="232"/>
    </row>
    <row r="271" spans="1:13" ht="15.75" hidden="1" customHeight="1" thickBot="1" x14ac:dyDescent="0.25">
      <c r="A271" s="245" t="s">
        <v>23</v>
      </c>
      <c r="B271" s="606">
        <f>VLOOKUP(37,'２×Ｗ'!C39:K39,2)</f>
        <v>0</v>
      </c>
      <c r="C271" s="606"/>
      <c r="D271" s="246" t="s">
        <v>19</v>
      </c>
      <c r="E271" s="607">
        <f>VLOOKUP(37,'２×Ｗ'!C39:K39,9)</f>
        <v>0</v>
      </c>
      <c r="F271" s="608"/>
      <c r="H271" s="245" t="s">
        <v>23</v>
      </c>
      <c r="I271" s="606">
        <f>VLOOKUP(40,'２×Ｗ'!C42:K42,2)</f>
        <v>0</v>
      </c>
      <c r="J271" s="606"/>
      <c r="K271" s="246" t="s">
        <v>19</v>
      </c>
      <c r="L271" s="607">
        <f>VLOOKUP(40,'２×Ｗ'!C42:K42,9)</f>
        <v>0</v>
      </c>
      <c r="M271" s="608"/>
    </row>
    <row r="272" spans="1:13" ht="15.75" hidden="1" customHeight="1" x14ac:dyDescent="0.2">
      <c r="A272" s="249" t="s">
        <v>20</v>
      </c>
      <c r="B272" s="250" t="s">
        <v>24</v>
      </c>
      <c r="C272" s="251" t="s">
        <v>25</v>
      </c>
      <c r="D272" s="250" t="s">
        <v>21</v>
      </c>
      <c r="E272" s="238"/>
      <c r="F272" s="239"/>
      <c r="H272" s="249" t="s">
        <v>20</v>
      </c>
      <c r="I272" s="250" t="s">
        <v>24</v>
      </c>
      <c r="J272" s="251" t="s">
        <v>25</v>
      </c>
      <c r="K272" s="250" t="s">
        <v>21</v>
      </c>
      <c r="L272" s="238"/>
      <c r="M272" s="239"/>
    </row>
    <row r="273" spans="1:13" ht="15.75" hidden="1" customHeight="1" x14ac:dyDescent="0.2">
      <c r="A273" s="256" t="s">
        <v>22</v>
      </c>
      <c r="B273" s="257">
        <f>VLOOKUP(37,'２×Ｗ'!C39:K39,4)</f>
        <v>0</v>
      </c>
      <c r="C273" s="258">
        <f>VLOOKUP(37,'２×Ｗ'!C39:K39,5)</f>
        <v>0</v>
      </c>
      <c r="D273" s="257">
        <f>VLOOKUP(37,'２×Ｗ'!C39:K39,6)</f>
        <v>0</v>
      </c>
      <c r="E273" s="242"/>
      <c r="F273" s="232"/>
      <c r="H273" s="256" t="s">
        <v>22</v>
      </c>
      <c r="I273" s="257">
        <f>VLOOKUP(40,'２×Ｗ'!C42:K42,4)</f>
        <v>0</v>
      </c>
      <c r="J273" s="258">
        <f>VLOOKUP(40,'２×Ｗ'!C42:K42,5)</f>
        <v>0</v>
      </c>
      <c r="K273" s="257">
        <f>VLOOKUP(40,'２×Ｗ'!C42:K42,6)</f>
        <v>0</v>
      </c>
      <c r="L273" s="242"/>
      <c r="M273" s="232"/>
    </row>
    <row r="274" spans="1:13" ht="15.75" hidden="1" customHeight="1" x14ac:dyDescent="0.2">
      <c r="A274" s="256" t="s">
        <v>27</v>
      </c>
      <c r="B274" s="257">
        <f>VLOOKUP(38,'２×Ｗ'!C40:K40,4)</f>
        <v>0</v>
      </c>
      <c r="C274" s="258">
        <f>VLOOKUP(38,'２×Ｗ'!C40:K40,5)</f>
        <v>0</v>
      </c>
      <c r="D274" s="257">
        <f>VLOOKUP(38,'２×Ｗ'!C40:K40,6)</f>
        <v>0</v>
      </c>
      <c r="E274" s="242"/>
      <c r="F274" s="232"/>
      <c r="G274" s="232"/>
      <c r="H274" s="256" t="s">
        <v>27</v>
      </c>
      <c r="I274" s="257">
        <f>VLOOKUP(41,'２×Ｗ'!C43:K43,4)</f>
        <v>0</v>
      </c>
      <c r="J274" s="258">
        <f>VLOOKUP(41,'２×Ｗ'!C43:K43,5)</f>
        <v>0</v>
      </c>
      <c r="K274" s="257">
        <f>VLOOKUP(41,'２×Ｗ'!C43:K43,6)</f>
        <v>0</v>
      </c>
      <c r="L274" s="242"/>
      <c r="M274" s="232"/>
    </row>
    <row r="275" spans="1:13" ht="15.75" hidden="1" customHeight="1" thickBot="1" x14ac:dyDescent="0.25">
      <c r="A275" s="248" t="s">
        <v>28</v>
      </c>
      <c r="B275" s="240">
        <f>VLOOKUP(39,'２×Ｗ'!C41:K41,4)</f>
        <v>0</v>
      </c>
      <c r="C275" s="241">
        <f>VLOOKUP(39,'２×Ｗ'!C41:K41,5)</f>
        <v>0</v>
      </c>
      <c r="D275" s="240">
        <f>VLOOKUP(39,'２×Ｗ'!C41:K41,6)</f>
        <v>0</v>
      </c>
      <c r="E275" s="242"/>
      <c r="F275" s="232"/>
      <c r="H275" s="248" t="s">
        <v>28</v>
      </c>
      <c r="I275" s="240">
        <f>VLOOKUP(42,'２×Ｗ'!C44:K44,4)</f>
        <v>0</v>
      </c>
      <c r="J275" s="241">
        <f>VLOOKUP(42,'２×Ｗ'!C44:K44,5)</f>
        <v>0</v>
      </c>
      <c r="K275" s="240">
        <f>VLOOKUP(42,'２×Ｗ'!C44:K44,6)</f>
        <v>0</v>
      </c>
      <c r="L275" s="242"/>
      <c r="M275" s="232"/>
    </row>
    <row r="276" spans="1:13" ht="15.75" hidden="1" customHeight="1" thickBot="1" x14ac:dyDescent="0.25">
      <c r="A276" s="232"/>
      <c r="B276" s="232"/>
      <c r="D276" s="232"/>
      <c r="E276" s="232"/>
      <c r="F276" s="232"/>
      <c r="H276" s="232"/>
      <c r="I276" s="232"/>
      <c r="K276" s="232"/>
      <c r="L276" s="232"/>
      <c r="M276" s="232"/>
    </row>
    <row r="277" spans="1:13" ht="15.75" hidden="1" customHeight="1" thickBot="1" x14ac:dyDescent="0.25">
      <c r="A277" s="245" t="s">
        <v>23</v>
      </c>
      <c r="B277" s="606">
        <f>VLOOKUP(43,'２×Ｗ'!C45:K45,2)</f>
        <v>0</v>
      </c>
      <c r="C277" s="606"/>
      <c r="D277" s="246" t="s">
        <v>19</v>
      </c>
      <c r="E277" s="607">
        <f>VLOOKUP(43,'２×Ｗ'!C45:K45,9)</f>
        <v>0</v>
      </c>
      <c r="F277" s="608"/>
      <c r="H277" s="245" t="s">
        <v>23</v>
      </c>
      <c r="I277" s="606" t="e">
        <f>VLOOKUP(34,'２×Ｗ'!C42:K42,2)</f>
        <v>#N/A</v>
      </c>
      <c r="J277" s="606"/>
      <c r="K277" s="246" t="s">
        <v>19</v>
      </c>
      <c r="L277" s="607" t="e">
        <f>VLOOKUP(34,'２×Ｗ'!C42:K42,9)</f>
        <v>#N/A</v>
      </c>
      <c r="M277" s="608"/>
    </row>
    <row r="278" spans="1:13" ht="15.75" hidden="1" customHeight="1" x14ac:dyDescent="0.2">
      <c r="A278" s="249" t="s">
        <v>20</v>
      </c>
      <c r="B278" s="250" t="s">
        <v>24</v>
      </c>
      <c r="C278" s="251" t="s">
        <v>25</v>
      </c>
      <c r="D278" s="250" t="s">
        <v>21</v>
      </c>
      <c r="E278" s="238"/>
      <c r="F278" s="239"/>
      <c r="H278" s="249" t="s">
        <v>20</v>
      </c>
      <c r="I278" s="250" t="s">
        <v>24</v>
      </c>
      <c r="J278" s="251" t="s">
        <v>25</v>
      </c>
      <c r="K278" s="250" t="s">
        <v>21</v>
      </c>
      <c r="L278" s="238"/>
      <c r="M278" s="239"/>
    </row>
    <row r="279" spans="1:13" ht="15.75" hidden="1" customHeight="1" x14ac:dyDescent="0.2">
      <c r="A279" s="256" t="s">
        <v>22</v>
      </c>
      <c r="B279" s="257">
        <f>VLOOKUP(44,'２×Ｗ'!C45:K45,4)</f>
        <v>0</v>
      </c>
      <c r="C279" s="258">
        <f>VLOOKUP(44,'２×Ｗ'!C45:K45,5)</f>
        <v>0</v>
      </c>
      <c r="D279" s="257">
        <f>VLOOKUP(44,'２×Ｗ'!C45:K45,6)</f>
        <v>0</v>
      </c>
      <c r="E279" s="242"/>
      <c r="F279" s="232"/>
      <c r="H279" s="256" t="s">
        <v>22</v>
      </c>
      <c r="I279" s="257" t="e">
        <f>VLOOKUP(34,'２×Ｗ'!C42:K42,4)</f>
        <v>#N/A</v>
      </c>
      <c r="J279" s="258" t="e">
        <f>VLOOKUP(34,'２×Ｗ'!C42:K42,5)</f>
        <v>#N/A</v>
      </c>
      <c r="K279" s="257" t="e">
        <f>VLOOKUP(34,'２×Ｗ'!C42:K42,6)</f>
        <v>#N/A</v>
      </c>
      <c r="L279" s="242"/>
      <c r="M279" s="232"/>
    </row>
    <row r="280" spans="1:13" ht="15.75" hidden="1" customHeight="1" x14ac:dyDescent="0.2">
      <c r="A280" s="256" t="s">
        <v>27</v>
      </c>
      <c r="B280" s="257">
        <f>VLOOKUP(44,'２×Ｗ'!C46:K46,4)</f>
        <v>0</v>
      </c>
      <c r="C280" s="258">
        <f>VLOOKUP(44,'２×Ｗ'!C46:K46,5)</f>
        <v>0</v>
      </c>
      <c r="D280" s="257">
        <f>VLOOKUP(44,'２×Ｗ'!C46:K46,6)</f>
        <v>0</v>
      </c>
      <c r="E280" s="242"/>
      <c r="F280" s="232"/>
      <c r="G280" s="232"/>
      <c r="H280" s="256" t="s">
        <v>27</v>
      </c>
      <c r="I280" s="257" t="e">
        <f>VLOOKUP(35,'２×Ｗ'!C43:K43,4)</f>
        <v>#N/A</v>
      </c>
      <c r="J280" s="258" t="e">
        <f>VLOOKUP(35,'２×Ｗ'!C43:K43,5)</f>
        <v>#N/A</v>
      </c>
      <c r="K280" s="257" t="e">
        <f>VLOOKUP(35,'２×Ｗ'!C43:K43,6)</f>
        <v>#N/A</v>
      </c>
      <c r="L280" s="242"/>
      <c r="M280" s="232"/>
    </row>
    <row r="281" spans="1:13" ht="15.75" hidden="1" customHeight="1" thickBot="1" x14ac:dyDescent="0.25">
      <c r="A281" s="248" t="s">
        <v>28</v>
      </c>
      <c r="B281" s="257">
        <f>VLOOKUP(45,'２×Ｗ'!C47:K47,4)</f>
        <v>0</v>
      </c>
      <c r="C281" s="258">
        <f>VLOOKUP(45,'２×Ｗ'!C47:K47,5)</f>
        <v>0</v>
      </c>
      <c r="D281" s="257">
        <f>VLOOKUP(45,'２×Ｗ'!C47:K47,6)</f>
        <v>0</v>
      </c>
      <c r="E281" s="242"/>
      <c r="F281" s="232"/>
      <c r="H281" s="248" t="s">
        <v>28</v>
      </c>
      <c r="I281" s="240" t="e">
        <f>VLOOKUP(36,'２×Ｗ'!C44:K44,4)</f>
        <v>#N/A</v>
      </c>
      <c r="J281" s="241" t="e">
        <f>VLOOKUP(36,'２×Ｗ'!C44:K44,5)</f>
        <v>#N/A</v>
      </c>
      <c r="K281" s="240" t="e">
        <f>VLOOKUP(36,'２×Ｗ'!C44:K44,6)</f>
        <v>#N/A</v>
      </c>
      <c r="L281" s="242"/>
      <c r="M281" s="232"/>
    </row>
    <row r="282" spans="1:13" ht="15.75" customHeight="1" x14ac:dyDescent="0.2">
      <c r="A282" s="232"/>
      <c r="H282" s="232"/>
    </row>
    <row r="283" spans="1:13" s="243" customFormat="1" ht="15.75" customHeight="1" x14ac:dyDescent="0.2">
      <c r="A283" s="243" t="s">
        <v>84</v>
      </c>
      <c r="C283" s="244"/>
      <c r="J283" s="244"/>
    </row>
    <row r="284" spans="1:13" ht="15.75" customHeight="1" thickBot="1" x14ac:dyDescent="0.25"/>
    <row r="285" spans="1:13" ht="15.75" customHeight="1" thickBot="1" x14ac:dyDescent="0.25">
      <c r="A285" s="245" t="s">
        <v>359</v>
      </c>
      <c r="B285" s="606" t="str">
        <f>VLOOKUP(1,'４×＋Ｍ'!C3:K3,2)</f>
        <v>浜松湖南高校A</v>
      </c>
      <c r="C285" s="606"/>
      <c r="D285" s="246" t="s">
        <v>360</v>
      </c>
      <c r="E285" s="607" t="str">
        <f>VLOOKUP(1,'４×＋Ｍ'!C3:K3,9)</f>
        <v>山崎武敏</v>
      </c>
      <c r="F285" s="608"/>
      <c r="H285" s="245" t="s">
        <v>361</v>
      </c>
      <c r="I285" s="606" t="str">
        <f>VLOOKUP(8,'４×＋Ｍ'!C10:K10,2)</f>
        <v>浜松湖南高校B</v>
      </c>
      <c r="J285" s="606"/>
      <c r="K285" s="246" t="s">
        <v>19</v>
      </c>
      <c r="L285" s="606" t="str">
        <f>VLOOKUP(8,'４×＋Ｍ'!C10:K10,9)</f>
        <v>山崎武敏</v>
      </c>
      <c r="M285" s="609"/>
    </row>
    <row r="286" spans="1:13" ht="15.75" customHeight="1" x14ac:dyDescent="0.2">
      <c r="A286" s="249" t="s">
        <v>20</v>
      </c>
      <c r="B286" s="250" t="s">
        <v>24</v>
      </c>
      <c r="C286" s="251" t="s">
        <v>25</v>
      </c>
      <c r="D286" s="250" t="s">
        <v>21</v>
      </c>
      <c r="E286" s="238"/>
      <c r="F286" s="239"/>
      <c r="H286" s="249" t="s">
        <v>20</v>
      </c>
      <c r="I286" s="250" t="s">
        <v>24</v>
      </c>
      <c r="J286" s="251" t="s">
        <v>25</v>
      </c>
      <c r="K286" s="250" t="s">
        <v>21</v>
      </c>
      <c r="L286" s="238"/>
      <c r="M286" s="239"/>
    </row>
    <row r="287" spans="1:13" ht="15.75" customHeight="1" x14ac:dyDescent="0.2">
      <c r="A287" s="256" t="s">
        <v>375</v>
      </c>
      <c r="B287" s="257" t="str">
        <f>VLOOKUP(1,'４×＋Ｍ'!C3:K3,4)</f>
        <v>藤井</v>
      </c>
      <c r="C287" s="258" t="str">
        <f>VLOOKUP(1,'４×＋Ｍ'!C3:K3,5)</f>
        <v>敦朗</v>
      </c>
      <c r="D287" s="257">
        <f>VLOOKUP(1,'４×＋Ｍ'!C3:K3,6)</f>
        <v>2</v>
      </c>
      <c r="E287" s="242"/>
      <c r="F287" s="232"/>
      <c r="H287" s="256" t="s">
        <v>26</v>
      </c>
      <c r="I287" s="257" t="str">
        <f>VLOOKUP(8,'４×＋Ｍ'!C10:K10,4)</f>
        <v>久木山</v>
      </c>
      <c r="J287" s="258" t="str">
        <f>VLOOKUP(8,'４×＋Ｍ'!C10:K10,5)</f>
        <v>颯汰</v>
      </c>
      <c r="K287" s="257">
        <f>VLOOKUP(8,'４×＋Ｍ'!C10:K10,6)</f>
        <v>3</v>
      </c>
      <c r="L287" s="242"/>
      <c r="M287" s="232"/>
    </row>
    <row r="288" spans="1:13" ht="15.75" customHeight="1" x14ac:dyDescent="0.2">
      <c r="A288" s="256" t="s">
        <v>370</v>
      </c>
      <c r="B288" s="257" t="str">
        <f>VLOOKUP(2,'４×＋Ｍ'!C4:K4,4)</f>
        <v>山下</v>
      </c>
      <c r="C288" s="258" t="str">
        <f>VLOOKUP(2,'４×＋Ｍ'!C4:K4,5)</f>
        <v>稜人</v>
      </c>
      <c r="D288" s="257">
        <f>VLOOKUP(2,'４×＋Ｍ'!C4:K4,6)</f>
        <v>3</v>
      </c>
      <c r="E288" s="242"/>
      <c r="F288" s="232"/>
      <c r="H288" s="256" t="s">
        <v>22</v>
      </c>
      <c r="I288" s="257" t="str">
        <f>VLOOKUP(9,'４×＋Ｍ'!C11:K11,4)</f>
        <v>江川</v>
      </c>
      <c r="J288" s="258" t="str">
        <f>VLOOKUP(9,'４×＋Ｍ'!C11:K11,5)</f>
        <v>太心</v>
      </c>
      <c r="K288" s="257">
        <f>VLOOKUP(9,'４×＋Ｍ'!C11:K11,6)</f>
        <v>2</v>
      </c>
      <c r="L288" s="242"/>
      <c r="M288" s="232"/>
    </row>
    <row r="289" spans="1:19" ht="15.75" customHeight="1" x14ac:dyDescent="0.2">
      <c r="A289" s="256">
        <v>3</v>
      </c>
      <c r="B289" s="257" t="str">
        <f>VLOOKUP(3,'４×＋Ｍ'!C5:K5,4)</f>
        <v>岡部</v>
      </c>
      <c r="C289" s="258" t="str">
        <f>VLOOKUP(3,'４×＋Ｍ'!C5:K5,5)</f>
        <v>快音</v>
      </c>
      <c r="D289" s="257">
        <f>VLOOKUP(3,'４×＋Ｍ'!C5:K5,6)</f>
        <v>2</v>
      </c>
      <c r="E289" s="242"/>
      <c r="F289" s="232"/>
      <c r="H289" s="256">
        <v>3</v>
      </c>
      <c r="I289" s="257" t="str">
        <f>VLOOKUP(10,'４×＋Ｍ'!C12:K12,4)</f>
        <v>相馬</v>
      </c>
      <c r="J289" s="258" t="str">
        <f>VLOOKUP(10,'４×＋Ｍ'!C12:K12,5)</f>
        <v>将瑛</v>
      </c>
      <c r="K289" s="257">
        <f>VLOOKUP(10,'４×＋Ｍ'!C12:K12,6)</f>
        <v>2</v>
      </c>
      <c r="L289" s="242"/>
      <c r="M289" s="232"/>
    </row>
    <row r="290" spans="1:19" ht="15.75" customHeight="1" x14ac:dyDescent="0.2">
      <c r="A290" s="256">
        <v>2</v>
      </c>
      <c r="B290" s="257" t="str">
        <f>VLOOKUP(4,'４×＋Ｍ'!C6:K6,4)</f>
        <v>大島</v>
      </c>
      <c r="C290" s="258" t="str">
        <f>VLOOKUP(4,'４×＋Ｍ'!C6:K6,5)</f>
        <v>悠翔</v>
      </c>
      <c r="D290" s="257">
        <f>VLOOKUP(4,'４×＋Ｍ'!C6:K6,6)</f>
        <v>2</v>
      </c>
      <c r="E290" s="242"/>
      <c r="F290" s="232"/>
      <c r="H290" s="256">
        <v>2</v>
      </c>
      <c r="I290" s="257" t="str">
        <f>VLOOKUP(11,'４×＋Ｍ'!C13:K13,4)</f>
        <v>松島</v>
      </c>
      <c r="J290" s="258" t="str">
        <f>VLOOKUP(11,'４×＋Ｍ'!C13:K13,5)</f>
        <v>煌起</v>
      </c>
      <c r="K290" s="257">
        <f>VLOOKUP(11,'４×＋Ｍ'!C13:K13,6)</f>
        <v>3</v>
      </c>
      <c r="L290" s="242"/>
      <c r="M290" s="232"/>
    </row>
    <row r="291" spans="1:19" ht="15.75" customHeight="1" x14ac:dyDescent="0.2">
      <c r="A291" s="256" t="s">
        <v>371</v>
      </c>
      <c r="B291" s="257" t="str">
        <f>VLOOKUP(5,'４×＋Ｍ'!C7:K7,4)</f>
        <v>中出</v>
      </c>
      <c r="C291" s="258" t="str">
        <f>VLOOKUP(5,'４×＋Ｍ'!C7:K7,5)</f>
        <v>仁</v>
      </c>
      <c r="D291" s="257">
        <f>VLOOKUP(5,'４×＋Ｍ'!C7:K7,6)</f>
        <v>2</v>
      </c>
      <c r="E291" s="242"/>
      <c r="F291" s="232"/>
      <c r="H291" s="256" t="s">
        <v>27</v>
      </c>
      <c r="I291" s="260" t="str">
        <f>VLOOKUP(12,'４×＋Ｍ'!C14:K14,4)</f>
        <v>名波</v>
      </c>
      <c r="J291" s="258" t="str">
        <f>VLOOKUP(12,'４×＋Ｍ'!C14:K14,5)</f>
        <v>虹太朗</v>
      </c>
      <c r="K291" s="257">
        <f>VLOOKUP(12,'４×＋Ｍ'!C14:K14,6)</f>
        <v>2</v>
      </c>
      <c r="L291" s="242"/>
      <c r="M291" s="232"/>
    </row>
    <row r="292" spans="1:19" ht="15.75" customHeight="1" x14ac:dyDescent="0.2">
      <c r="A292" s="256" t="s">
        <v>372</v>
      </c>
      <c r="B292" s="257" t="str">
        <f>VLOOKUP(6,'４×＋Ｍ'!C8:K8,4)</f>
        <v>影原</v>
      </c>
      <c r="C292" s="258" t="str">
        <f>VLOOKUP(6,'４×＋Ｍ'!C8:K8,5)</f>
        <v>歩</v>
      </c>
      <c r="D292" s="257">
        <f>VLOOKUP(6,'４×＋Ｍ'!C8:K8,6)</f>
        <v>2</v>
      </c>
      <c r="E292" s="242"/>
      <c r="F292" s="232"/>
      <c r="H292" s="256" t="s">
        <v>28</v>
      </c>
      <c r="I292" s="260" t="str">
        <f>VLOOKUP(13,'４×＋Ｍ'!C15:K15,4)</f>
        <v>近藤</v>
      </c>
      <c r="J292" s="258" t="str">
        <f>VLOOKUP(13,'４×＋Ｍ'!C15:K15,5)</f>
        <v>碧波</v>
      </c>
      <c r="K292" s="257">
        <f>VLOOKUP(13,'４×＋Ｍ'!C15:K15,6)</f>
        <v>2</v>
      </c>
      <c r="L292" s="242"/>
      <c r="M292" s="232"/>
    </row>
    <row r="293" spans="1:19" ht="15.75" customHeight="1" thickBot="1" x14ac:dyDescent="0.25">
      <c r="A293" s="248" t="s">
        <v>372</v>
      </c>
      <c r="B293" s="240" t="str">
        <f>VLOOKUP(7,'４×＋Ｍ'!C9:K9,4)</f>
        <v>高須</v>
      </c>
      <c r="C293" s="241" t="str">
        <f>VLOOKUP(7,'４×＋Ｍ'!C9:K9,5)</f>
        <v>丈瑠</v>
      </c>
      <c r="D293" s="240">
        <f>VLOOKUP(7,'４×＋Ｍ'!C9:K9,6)</f>
        <v>2</v>
      </c>
      <c r="E293" s="242"/>
      <c r="F293" s="232"/>
      <c r="H293" s="248" t="s">
        <v>28</v>
      </c>
      <c r="I293" s="261" t="str">
        <f>VLOOKUP(14,'４×＋Ｍ'!C16:K16,4)</f>
        <v>青島</v>
      </c>
      <c r="J293" s="241" t="str">
        <f>VLOOKUP(14,'４×＋Ｍ'!C16:K16,5)</f>
        <v>皐達</v>
      </c>
      <c r="K293" s="240">
        <f>VLOOKUP(14,'４×＋Ｍ'!C16:K16,6)</f>
        <v>2</v>
      </c>
      <c r="L293" s="242"/>
      <c r="M293" s="232"/>
    </row>
    <row r="294" spans="1:19" ht="15.75" customHeight="1" thickBot="1" x14ac:dyDescent="0.25"/>
    <row r="295" spans="1:19" ht="15.75" customHeight="1" thickBot="1" x14ac:dyDescent="0.25">
      <c r="A295" s="245" t="s">
        <v>23</v>
      </c>
      <c r="B295" s="606" t="str">
        <f>VLOOKUP(15,'４×＋Ｍ'!C17:K17,2)</f>
        <v>沼津工業高校</v>
      </c>
      <c r="C295" s="606"/>
      <c r="D295" s="246" t="s">
        <v>19</v>
      </c>
      <c r="E295" s="607" t="str">
        <f>VLOOKUP(15,'４×＋Ｍ'!C17:K17,9)</f>
        <v>植松聖陽</v>
      </c>
      <c r="F295" s="608"/>
      <c r="H295" s="245" t="s">
        <v>23</v>
      </c>
      <c r="I295" s="606" t="str">
        <f>VLOOKUP(22,'４×＋Ｍ'!C24:K24,2)</f>
        <v>新居高校</v>
      </c>
      <c r="J295" s="606"/>
      <c r="K295" s="246" t="s">
        <v>19</v>
      </c>
      <c r="L295" s="606" t="str">
        <f>VLOOKUP(22,'４×＋Ｍ'!C24:K24,9)</f>
        <v>越智千紗都</v>
      </c>
      <c r="M295" s="609"/>
    </row>
    <row r="296" spans="1:19" ht="15.75" customHeight="1" x14ac:dyDescent="0.2">
      <c r="A296" s="249" t="s">
        <v>20</v>
      </c>
      <c r="B296" s="250" t="s">
        <v>24</v>
      </c>
      <c r="C296" s="251" t="s">
        <v>25</v>
      </c>
      <c r="D296" s="250" t="s">
        <v>21</v>
      </c>
      <c r="E296" s="238"/>
      <c r="F296" s="239"/>
      <c r="H296" s="249" t="s">
        <v>20</v>
      </c>
      <c r="I296" s="250" t="s">
        <v>24</v>
      </c>
      <c r="J296" s="251" t="s">
        <v>25</v>
      </c>
      <c r="K296" s="250" t="s">
        <v>21</v>
      </c>
      <c r="L296" s="238"/>
      <c r="M296" s="239"/>
    </row>
    <row r="297" spans="1:19" ht="15.75" customHeight="1" x14ac:dyDescent="0.2">
      <c r="A297" s="256" t="s">
        <v>26</v>
      </c>
      <c r="B297" s="257" t="str">
        <f>VLOOKUP(15,'４×＋Ｍ'!C17:K17,4)</f>
        <v>小出</v>
      </c>
      <c r="C297" s="258" t="str">
        <f>VLOOKUP(15,'４×＋Ｍ'!C17:K17,5)</f>
        <v>歩夢</v>
      </c>
      <c r="D297" s="257">
        <f>VLOOKUP(15,'４×＋Ｍ'!C17:K17,6)</f>
        <v>1</v>
      </c>
      <c r="E297" s="242"/>
      <c r="F297" s="232"/>
      <c r="H297" s="256" t="s">
        <v>26</v>
      </c>
      <c r="I297" s="257" t="str">
        <f>VLOOKUP(22,'４×＋Ｍ'!C24:K24,4)</f>
        <v>原</v>
      </c>
      <c r="J297" s="258" t="str">
        <f>VLOOKUP(22,'４×＋Ｍ'!C24:K24,5)</f>
        <v>太壱</v>
      </c>
      <c r="K297" s="257">
        <f>VLOOKUP(22,'４×＋Ｍ'!C24:K24,6)</f>
        <v>3</v>
      </c>
      <c r="L297" s="242"/>
      <c r="M297" s="232"/>
    </row>
    <row r="298" spans="1:19" ht="15.75" customHeight="1" x14ac:dyDescent="0.2">
      <c r="A298" s="256" t="s">
        <v>22</v>
      </c>
      <c r="B298" s="257" t="str">
        <f>VLOOKUP(16,'４×＋Ｍ'!C18:K18,4)</f>
        <v>西片</v>
      </c>
      <c r="C298" s="258" t="str">
        <f>VLOOKUP(16,'４×＋Ｍ'!C18:K18,5)</f>
        <v>健了</v>
      </c>
      <c r="D298" s="257">
        <f>VLOOKUP(16,'４×＋Ｍ'!C18:K18,6)</f>
        <v>3</v>
      </c>
      <c r="E298" s="242"/>
      <c r="F298" s="232"/>
      <c r="H298" s="256" t="s">
        <v>22</v>
      </c>
      <c r="I298" s="257" t="str">
        <f>VLOOKUP(23,'４×＋Ｍ'!C25:K25,4)</f>
        <v>垣田</v>
      </c>
      <c r="J298" s="258" t="str">
        <f>VLOOKUP(23,'４×＋Ｍ'!C25:K25,5)</f>
        <v>稜空</v>
      </c>
      <c r="K298" s="257">
        <f>VLOOKUP(23,'４×＋Ｍ'!C25:K25,6)</f>
        <v>3</v>
      </c>
      <c r="L298" s="242"/>
      <c r="M298" s="232"/>
    </row>
    <row r="299" spans="1:19" ht="15.75" customHeight="1" x14ac:dyDescent="0.2">
      <c r="A299" s="256">
        <v>3</v>
      </c>
      <c r="B299" s="257" t="str">
        <f>VLOOKUP(17,'４×＋Ｍ'!C19:K19,4)</f>
        <v>武田</v>
      </c>
      <c r="C299" s="258" t="str">
        <f>VLOOKUP(17,'４×＋Ｍ'!C19:K19,5)</f>
        <v>侑樹</v>
      </c>
      <c r="D299" s="257">
        <f>VLOOKUP(17,'４×＋Ｍ'!C19:K19,6)</f>
        <v>2</v>
      </c>
      <c r="E299" s="242"/>
      <c r="F299" s="232"/>
      <c r="H299" s="256">
        <v>3</v>
      </c>
      <c r="I299" s="257" t="str">
        <f>VLOOKUP(24,'４×＋Ｍ'!C26:K26,4)</f>
        <v>飯島</v>
      </c>
      <c r="J299" s="258" t="str">
        <f>VLOOKUP(24,'４×＋Ｍ'!C26:K26,5)</f>
        <v>凛</v>
      </c>
      <c r="K299" s="257">
        <f>VLOOKUP(24,'４×＋Ｍ'!C26:K26,6)</f>
        <v>3</v>
      </c>
      <c r="L299" s="242"/>
      <c r="M299" s="232"/>
    </row>
    <row r="300" spans="1:19" ht="15.75" customHeight="1" x14ac:dyDescent="0.2">
      <c r="A300" s="256">
        <v>2</v>
      </c>
      <c r="B300" s="257" t="str">
        <f>VLOOKUP(18,'４×＋Ｍ'!C20:K20,4)</f>
        <v>佐々木</v>
      </c>
      <c r="C300" s="258" t="str">
        <f>VLOOKUP(18,'４×＋Ｍ'!C20:K20,5)</f>
        <v>清雅</v>
      </c>
      <c r="D300" s="257">
        <f>VLOOKUP(18,'４×＋Ｍ'!C20:K20,6)</f>
        <v>2</v>
      </c>
      <c r="E300" s="242"/>
      <c r="F300" s="232"/>
      <c r="H300" s="256">
        <v>2</v>
      </c>
      <c r="I300" s="257" t="str">
        <f>VLOOKUP(25,'４×＋Ｍ'!C27:K27,4)</f>
        <v>内藤</v>
      </c>
      <c r="J300" s="258" t="str">
        <f>VLOOKUP(25,'４×＋Ｍ'!C27:K27,5)</f>
        <v>晴樹</v>
      </c>
      <c r="K300" s="257">
        <f>VLOOKUP(25,'４×＋Ｍ'!C27:K27,6)</f>
        <v>3</v>
      </c>
      <c r="L300" s="242"/>
      <c r="M300" s="232"/>
    </row>
    <row r="301" spans="1:19" ht="15.75" customHeight="1" x14ac:dyDescent="0.2">
      <c r="A301" s="256" t="s">
        <v>27</v>
      </c>
      <c r="B301" s="257" t="str">
        <f>VLOOKUP(19,'４×＋Ｍ'!C21:K21,4)</f>
        <v>勝又</v>
      </c>
      <c r="C301" s="258" t="str">
        <f>VLOOKUP(19,'４×＋Ｍ'!C21:K21,5)</f>
        <v>風雅</v>
      </c>
      <c r="D301" s="257">
        <f>VLOOKUP(19,'４×＋Ｍ'!C21:K21,6)</f>
        <v>3</v>
      </c>
      <c r="E301" s="242"/>
      <c r="F301" s="232"/>
      <c r="H301" s="256" t="s">
        <v>27</v>
      </c>
      <c r="I301" s="260" t="str">
        <f>VLOOKUP(26,'４×＋Ｍ'!C28:K28,4)</f>
        <v>大西</v>
      </c>
      <c r="J301" s="258" t="str">
        <f>VLOOKUP(26,'４×＋Ｍ'!C28:K28,5)</f>
        <v>浩介</v>
      </c>
      <c r="K301" s="257">
        <f>VLOOKUP(26,'４×＋Ｍ'!C28:K28,6)</f>
        <v>3</v>
      </c>
      <c r="L301" s="242"/>
      <c r="M301" s="232"/>
      <c r="O301" s="582"/>
      <c r="P301" s="582"/>
      <c r="Q301" s="232"/>
      <c r="R301" s="232"/>
      <c r="S301" s="232"/>
    </row>
    <row r="302" spans="1:19" ht="15.75" customHeight="1" x14ac:dyDescent="0.2">
      <c r="A302" s="256" t="s">
        <v>28</v>
      </c>
      <c r="B302" s="257" t="str">
        <f>VLOOKUP(20,'４×＋Ｍ'!C22:K22,4)</f>
        <v>窪田</v>
      </c>
      <c r="C302" s="258" t="str">
        <f>VLOOKUP(20,'４×＋Ｍ'!C22:K22,5)</f>
        <v>祐貴</v>
      </c>
      <c r="D302" s="257">
        <f>VLOOKUP(20,'４×＋Ｍ'!C22:K22,6)</f>
        <v>2</v>
      </c>
      <c r="E302" s="242"/>
      <c r="F302" s="232"/>
      <c r="H302" s="256" t="s">
        <v>28</v>
      </c>
      <c r="I302" s="260" t="str">
        <f>VLOOKUP(27,'４×＋Ｍ'!C29:K29,4)</f>
        <v>髙村</v>
      </c>
      <c r="J302" s="258" t="str">
        <f>VLOOKUP(27,'４×＋Ｍ'!C29:K29,5)</f>
        <v>太一</v>
      </c>
      <c r="K302" s="257">
        <f>VLOOKUP(27,'４×＋Ｍ'!C29:K29,6)</f>
        <v>3</v>
      </c>
      <c r="L302" s="242"/>
      <c r="M302" s="232"/>
    </row>
    <row r="303" spans="1:19" ht="15.75" customHeight="1" thickBot="1" x14ac:dyDescent="0.25">
      <c r="A303" s="248" t="s">
        <v>28</v>
      </c>
      <c r="B303" s="240">
        <f>VLOOKUP(21,'４×＋Ｍ'!C23:K23,4)</f>
        <v>0</v>
      </c>
      <c r="C303" s="241">
        <f>VLOOKUP(21,'４×＋Ｍ'!C23:K23,5)</f>
        <v>0</v>
      </c>
      <c r="D303" s="240">
        <f>VLOOKUP(21,'４×＋Ｍ'!C23:K23,6)</f>
        <v>0</v>
      </c>
      <c r="E303" s="242"/>
      <c r="F303" s="232"/>
      <c r="H303" s="248" t="s">
        <v>28</v>
      </c>
      <c r="I303" s="261" t="str">
        <f>VLOOKUP(28,'４×＋Ｍ'!C30:K30,4)</f>
        <v>内山</v>
      </c>
      <c r="J303" s="241" t="str">
        <f>VLOOKUP(28,'４×＋Ｍ'!C30:K30,5)</f>
        <v>夢大</v>
      </c>
      <c r="K303" s="240">
        <f>VLOOKUP(28,'４×＋Ｍ'!C30:K30,6)</f>
        <v>3</v>
      </c>
      <c r="L303" s="242"/>
      <c r="M303" s="232"/>
    </row>
    <row r="304" spans="1:19" ht="15.75" customHeight="1" thickBot="1" x14ac:dyDescent="0.25"/>
    <row r="305" spans="1:13" ht="15.75" customHeight="1" thickBot="1" x14ac:dyDescent="0.25">
      <c r="A305" s="245" t="s">
        <v>23</v>
      </c>
      <c r="B305" s="606" t="str">
        <f>VLOOKUP(29,'４×＋Ｍ'!C31:K31,2)</f>
        <v>浜松西高校</v>
      </c>
      <c r="C305" s="606"/>
      <c r="D305" s="246" t="s">
        <v>19</v>
      </c>
      <c r="E305" s="607" t="str">
        <f>VLOOKUP(29,'４×＋Ｍ'!C31:K31,9)</f>
        <v>上西智紀</v>
      </c>
      <c r="F305" s="608"/>
      <c r="H305" s="245" t="s">
        <v>23</v>
      </c>
      <c r="I305" s="606" t="str">
        <f>VLOOKUP(36,'４×＋Ｍ'!C38:K38,2)</f>
        <v>浜松北高校</v>
      </c>
      <c r="J305" s="606"/>
      <c r="K305" s="246" t="s">
        <v>19</v>
      </c>
      <c r="L305" s="606" t="str">
        <f>VLOOKUP(36,'４×＋Ｍ'!C38:K38,9)</f>
        <v>槌屋健太</v>
      </c>
      <c r="M305" s="609"/>
    </row>
    <row r="306" spans="1:13" ht="15.75" customHeight="1" x14ac:dyDescent="0.2">
      <c r="A306" s="249" t="s">
        <v>20</v>
      </c>
      <c r="B306" s="250" t="s">
        <v>24</v>
      </c>
      <c r="C306" s="251" t="s">
        <v>25</v>
      </c>
      <c r="D306" s="250" t="s">
        <v>21</v>
      </c>
      <c r="E306" s="238"/>
      <c r="F306" s="239"/>
      <c r="H306" s="249" t="s">
        <v>20</v>
      </c>
      <c r="I306" s="250" t="s">
        <v>24</v>
      </c>
      <c r="J306" s="251" t="s">
        <v>25</v>
      </c>
      <c r="K306" s="250" t="s">
        <v>21</v>
      </c>
      <c r="L306" s="238"/>
      <c r="M306" s="239"/>
    </row>
    <row r="307" spans="1:13" ht="15.75" customHeight="1" x14ac:dyDescent="0.2">
      <c r="A307" s="256" t="s">
        <v>26</v>
      </c>
      <c r="B307" s="257" t="str">
        <f>VLOOKUP(29,'４×＋Ｍ'!C31:K31,4)</f>
        <v>須網</v>
      </c>
      <c r="C307" s="258" t="str">
        <f>VLOOKUP(29,'４×＋Ｍ'!C31:K31,5)</f>
        <v>信</v>
      </c>
      <c r="D307" s="257">
        <f>VLOOKUP(29,'４×＋Ｍ'!C31:K31,6)</f>
        <v>2</v>
      </c>
      <c r="E307" s="242"/>
      <c r="F307" s="232"/>
      <c r="H307" s="256" t="s">
        <v>26</v>
      </c>
      <c r="I307" s="257" t="str">
        <f>VLOOKUP(36,'４×＋Ｍ'!C38:K38,4)</f>
        <v>河口</v>
      </c>
      <c r="J307" s="258" t="str">
        <f>VLOOKUP(36,'４×＋Ｍ'!C38:K38,5)</f>
        <v>達郎</v>
      </c>
      <c r="K307" s="257">
        <f>VLOOKUP(36,'４×＋Ｍ'!C38:K38,6)</f>
        <v>3</v>
      </c>
      <c r="L307" s="242"/>
      <c r="M307" s="232"/>
    </row>
    <row r="308" spans="1:13" ht="15.75" customHeight="1" x14ac:dyDescent="0.2">
      <c r="A308" s="256" t="s">
        <v>22</v>
      </c>
      <c r="B308" s="257" t="str">
        <f>VLOOKUP(30,'４×＋Ｍ'!C32:K32,4)</f>
        <v>飯田</v>
      </c>
      <c r="C308" s="258" t="str">
        <f>VLOOKUP(30,'４×＋Ｍ'!C32:K32,5)</f>
        <v>純晟</v>
      </c>
      <c r="D308" s="257">
        <f>VLOOKUP(30,'４×＋Ｍ'!C32:K32,6)</f>
        <v>3</v>
      </c>
      <c r="E308" s="242"/>
      <c r="F308" s="232"/>
      <c r="H308" s="256" t="s">
        <v>22</v>
      </c>
      <c r="I308" s="257" t="str">
        <f>VLOOKUP(37,'４×＋Ｍ'!C39:K39,4)</f>
        <v>大橋</v>
      </c>
      <c r="J308" s="258" t="str">
        <f>VLOOKUP(37,'４×＋Ｍ'!C39:K39,5)</f>
        <v>賢人</v>
      </c>
      <c r="K308" s="257">
        <f>VLOOKUP(37,'４×＋Ｍ'!C39:K39,6)</f>
        <v>3</v>
      </c>
      <c r="L308" s="242"/>
      <c r="M308" s="232"/>
    </row>
    <row r="309" spans="1:13" ht="15.75" customHeight="1" x14ac:dyDescent="0.2">
      <c r="A309" s="256">
        <v>3</v>
      </c>
      <c r="B309" s="257" t="str">
        <f>VLOOKUP(31,'４×＋Ｍ'!C33:K33,4)</f>
        <v>北川</v>
      </c>
      <c r="C309" s="258" t="str">
        <f>VLOOKUP(31,'４×＋Ｍ'!C33:K33,5)</f>
        <v>湧大</v>
      </c>
      <c r="D309" s="257">
        <f>VLOOKUP(31,'４×＋Ｍ'!C33:K33,6)</f>
        <v>3</v>
      </c>
      <c r="E309" s="242"/>
      <c r="F309" s="232"/>
      <c r="H309" s="256">
        <v>3</v>
      </c>
      <c r="I309" s="257" t="str">
        <f>VLOOKUP(38,'４×＋Ｍ'!C40:K40,4)</f>
        <v>河邊</v>
      </c>
      <c r="J309" s="258" t="str">
        <f>VLOOKUP(38,'４×＋Ｍ'!C40:K40,5)</f>
        <v>翔太郎</v>
      </c>
      <c r="K309" s="257">
        <f>VLOOKUP(38,'４×＋Ｍ'!C40:K40,6)</f>
        <v>2</v>
      </c>
      <c r="L309" s="242"/>
      <c r="M309" s="232"/>
    </row>
    <row r="310" spans="1:13" ht="15.75" customHeight="1" x14ac:dyDescent="0.2">
      <c r="A310" s="256">
        <v>2</v>
      </c>
      <c r="B310" s="257" t="str">
        <f>VLOOKUP(32,'４×＋Ｍ'!C34:K34,4)</f>
        <v>青山</v>
      </c>
      <c r="C310" s="258" t="str">
        <f>VLOOKUP(32,'４×＋Ｍ'!C34:K34,5)</f>
        <v>純也</v>
      </c>
      <c r="D310" s="257">
        <f>VLOOKUP(32,'４×＋Ｍ'!C34:K34,6)</f>
        <v>3</v>
      </c>
      <c r="E310" s="242"/>
      <c r="F310" s="232"/>
      <c r="H310" s="256">
        <v>2</v>
      </c>
      <c r="I310" s="257" t="str">
        <f>VLOOKUP(39,'４×＋Ｍ'!C41:K41,4)</f>
        <v>長谷川</v>
      </c>
      <c r="J310" s="258" t="str">
        <f>VLOOKUP(39,'４×＋Ｍ'!C41:K41,5)</f>
        <v>大智</v>
      </c>
      <c r="K310" s="257">
        <f>VLOOKUP(39,'４×＋Ｍ'!C41:K44,6)</f>
        <v>3</v>
      </c>
      <c r="L310" s="242"/>
      <c r="M310" s="232"/>
    </row>
    <row r="311" spans="1:13" ht="15.75" customHeight="1" x14ac:dyDescent="0.2">
      <c r="A311" s="256" t="s">
        <v>27</v>
      </c>
      <c r="B311" s="257" t="str">
        <f>VLOOKUP(33,'４×＋Ｍ'!C35:K35,4)</f>
        <v>金指</v>
      </c>
      <c r="C311" s="258" t="str">
        <f>VLOOKUP(33,'４×＋Ｍ'!C35:K35,5)</f>
        <v>直宏</v>
      </c>
      <c r="D311" s="257">
        <f>VLOOKUP(33,'４×＋Ｍ'!C35:K35,6)</f>
        <v>3</v>
      </c>
      <c r="E311" s="242"/>
      <c r="F311" s="232"/>
      <c r="H311" s="256" t="s">
        <v>27</v>
      </c>
      <c r="I311" s="260" t="str">
        <f>VLOOKUP(40,'４×＋Ｍ'!C42:K42,4)</f>
        <v>白柳</v>
      </c>
      <c r="J311" s="258" t="str">
        <f>VLOOKUP(40,'４×＋Ｍ'!C42:K42,5)</f>
        <v>遼介</v>
      </c>
      <c r="K311" s="257">
        <f>VLOOKUP(40,'４×＋Ｍ'!C42:K42,6)</f>
        <v>3</v>
      </c>
      <c r="L311" s="242"/>
      <c r="M311" s="232"/>
    </row>
    <row r="312" spans="1:13" ht="15.75" customHeight="1" x14ac:dyDescent="0.2">
      <c r="A312" s="256" t="s">
        <v>28</v>
      </c>
      <c r="B312" s="257" t="str">
        <f>VLOOKUP(34,'４×＋Ｍ'!C36:K36,4)</f>
        <v>鈴木</v>
      </c>
      <c r="C312" s="258" t="str">
        <f>VLOOKUP(34,'４×＋Ｍ'!C36:K36,5)</f>
        <v>絆斗</v>
      </c>
      <c r="D312" s="257">
        <f>VLOOKUP(34,'４×＋Ｍ'!C36:K36,6)</f>
        <v>2</v>
      </c>
      <c r="E312" s="242"/>
      <c r="F312" s="232"/>
      <c r="H312" s="256" t="s">
        <v>28</v>
      </c>
      <c r="I312" s="260" t="str">
        <f>VLOOKUP(41,'４×＋Ｍ'!C43:K43,4)</f>
        <v>白井</v>
      </c>
      <c r="J312" s="258" t="str">
        <f>VLOOKUP(41,'４×＋Ｍ'!C43:K43,5)</f>
        <v>陽徳</v>
      </c>
      <c r="K312" s="257">
        <f>VLOOKUP(41,'４×＋Ｍ'!C43:K43,6)</f>
        <v>2</v>
      </c>
      <c r="L312" s="242"/>
      <c r="M312" s="232"/>
    </row>
    <row r="313" spans="1:13" ht="15.75" customHeight="1" thickBot="1" x14ac:dyDescent="0.25">
      <c r="A313" s="248" t="s">
        <v>28</v>
      </c>
      <c r="B313" s="240" t="str">
        <f>VLOOKUP(35,'４×＋Ｍ'!C37:K37,4)</f>
        <v>中山</v>
      </c>
      <c r="C313" s="241" t="str">
        <f>VLOOKUP(35,'４×＋Ｍ'!C37:K37,5)</f>
        <v>晃孝</v>
      </c>
      <c r="D313" s="240">
        <f>VLOOKUP(35,'４×＋Ｍ'!C37:K37,6)</f>
        <v>2</v>
      </c>
      <c r="E313" s="242"/>
      <c r="F313" s="232"/>
      <c r="H313" s="248" t="s">
        <v>28</v>
      </c>
      <c r="I313" s="261" t="str">
        <f>VLOOKUP(42,'４×＋Ｍ'!C44:K44,4)</f>
        <v>戸川</v>
      </c>
      <c r="J313" s="241" t="str">
        <f>VLOOKUP(42,'４×＋Ｍ'!C44:K44,5)</f>
        <v>駿</v>
      </c>
      <c r="K313" s="259">
        <f>VLOOKUP(42,'４×＋Ｍ'!C44:K44,6)</f>
        <v>3</v>
      </c>
      <c r="L313" s="242"/>
      <c r="M313" s="232"/>
    </row>
    <row r="314" spans="1:13" ht="15.75" hidden="1" customHeight="1" thickBot="1" x14ac:dyDescent="0.25">
      <c r="A314" s="245" t="s">
        <v>23</v>
      </c>
      <c r="B314" s="606">
        <f>VLOOKUP(43,'４×＋Ｍ'!C45:K45,2)</f>
        <v>0</v>
      </c>
      <c r="C314" s="606"/>
      <c r="D314" s="246" t="s">
        <v>19</v>
      </c>
      <c r="E314" s="607">
        <f>VLOOKUP(43,'４×＋Ｍ'!C45:K45,9)</f>
        <v>0</v>
      </c>
      <c r="F314" s="608"/>
      <c r="H314" s="245" t="s">
        <v>23</v>
      </c>
      <c r="I314" s="606">
        <f>VLOOKUP(50,'４×＋Ｍ'!C52:K52,2)</f>
        <v>0</v>
      </c>
      <c r="J314" s="606"/>
      <c r="K314" s="246" t="s">
        <v>19</v>
      </c>
      <c r="L314" s="606">
        <f>VLOOKUP(50,'４×＋Ｍ'!C52:K52,9)</f>
        <v>0</v>
      </c>
      <c r="M314" s="609"/>
    </row>
    <row r="315" spans="1:13" ht="15.75" hidden="1" customHeight="1" x14ac:dyDescent="0.2">
      <c r="A315" s="249" t="s">
        <v>20</v>
      </c>
      <c r="B315" s="250" t="s">
        <v>24</v>
      </c>
      <c r="C315" s="251" t="s">
        <v>25</v>
      </c>
      <c r="D315" s="250" t="s">
        <v>21</v>
      </c>
      <c r="E315" s="238"/>
      <c r="F315" s="239"/>
      <c r="H315" s="249" t="s">
        <v>20</v>
      </c>
      <c r="I315" s="250" t="s">
        <v>24</v>
      </c>
      <c r="J315" s="251" t="s">
        <v>25</v>
      </c>
      <c r="K315" s="250" t="s">
        <v>21</v>
      </c>
      <c r="L315" s="238"/>
      <c r="M315" s="239"/>
    </row>
    <row r="316" spans="1:13" ht="15.75" hidden="1" customHeight="1" x14ac:dyDescent="0.2">
      <c r="A316" s="256" t="s">
        <v>26</v>
      </c>
      <c r="B316" s="257">
        <f>VLOOKUP(43,'４×＋Ｍ'!C45:K45,4)</f>
        <v>0</v>
      </c>
      <c r="C316" s="258">
        <f>VLOOKUP(43,'４×＋Ｍ'!C45:K45,5)</f>
        <v>0</v>
      </c>
      <c r="D316" s="257">
        <f>VLOOKUP(43,'４×＋Ｍ'!C45:K45,6)</f>
        <v>0</v>
      </c>
      <c r="E316" s="242"/>
      <c r="F316" s="232"/>
      <c r="H316" s="256" t="s">
        <v>26</v>
      </c>
      <c r="I316" s="257">
        <f>VLOOKUP(50,'４×＋Ｍ'!C52:K52,4)</f>
        <v>0</v>
      </c>
      <c r="J316" s="258">
        <f>VLOOKUP(50,'４×＋Ｍ'!C52:K52,5)</f>
        <v>0</v>
      </c>
      <c r="K316" s="257">
        <f>VLOOKUP(50,'４×＋Ｍ'!C52:K52,6)</f>
        <v>0</v>
      </c>
      <c r="L316" s="242"/>
      <c r="M316" s="232"/>
    </row>
    <row r="317" spans="1:13" ht="15.75" hidden="1" customHeight="1" x14ac:dyDescent="0.2">
      <c r="A317" s="256" t="s">
        <v>22</v>
      </c>
      <c r="B317" s="257">
        <f>VLOOKUP(44,'４×＋Ｍ'!C46:K46,4)</f>
        <v>0</v>
      </c>
      <c r="C317" s="258">
        <f>VLOOKUP(44,'４×＋Ｍ'!C46:K46,5)</f>
        <v>0</v>
      </c>
      <c r="D317" s="257">
        <f>VLOOKUP(44,'４×＋Ｍ'!C46:K46,6)</f>
        <v>0</v>
      </c>
      <c r="E317" s="242"/>
      <c r="F317" s="232"/>
      <c r="H317" s="256" t="s">
        <v>22</v>
      </c>
      <c r="I317" s="257">
        <f>VLOOKUP(51,'４×＋Ｍ'!C53:K53,4)</f>
        <v>0</v>
      </c>
      <c r="J317" s="258">
        <f>VLOOKUP(51,'４×＋Ｍ'!C53:K53,5)</f>
        <v>0</v>
      </c>
      <c r="K317" s="257">
        <f>VLOOKUP(51,'４×＋Ｍ'!C53:K53,6)</f>
        <v>0</v>
      </c>
      <c r="L317" s="242"/>
      <c r="M317" s="232"/>
    </row>
    <row r="318" spans="1:13" ht="15.75" hidden="1" customHeight="1" x14ac:dyDescent="0.2">
      <c r="A318" s="256">
        <v>3</v>
      </c>
      <c r="B318" s="257">
        <f>VLOOKUP(45,'４×＋Ｍ'!C47:K47,4)</f>
        <v>0</v>
      </c>
      <c r="C318" s="258">
        <f>VLOOKUP(45,'４×＋Ｍ'!C47:K47,5)</f>
        <v>0</v>
      </c>
      <c r="D318" s="257">
        <f>VLOOKUP(45,'４×＋Ｍ'!C47:K47,6)</f>
        <v>0</v>
      </c>
      <c r="E318" s="242"/>
      <c r="F318" s="232"/>
      <c r="H318" s="256">
        <v>3</v>
      </c>
      <c r="I318" s="257">
        <f>VLOOKUP(52,'４×＋Ｍ'!C54:K54,4)</f>
        <v>0</v>
      </c>
      <c r="J318" s="258">
        <f>VLOOKUP(52,'４×＋Ｍ'!C54:K54,5)</f>
        <v>0</v>
      </c>
      <c r="K318" s="257">
        <f>VLOOKUP(52,'４×＋Ｍ'!C54:K54,6)</f>
        <v>0</v>
      </c>
      <c r="L318" s="242"/>
      <c r="M318" s="232"/>
    </row>
    <row r="319" spans="1:13" ht="15.75" hidden="1" customHeight="1" x14ac:dyDescent="0.2">
      <c r="A319" s="256">
        <v>2</v>
      </c>
      <c r="B319" s="257">
        <f>VLOOKUP(46,'４×＋Ｍ'!C48:K48,4)</f>
        <v>0</v>
      </c>
      <c r="C319" s="258">
        <f>VLOOKUP(46,'４×＋Ｍ'!C48:K48,5)</f>
        <v>0</v>
      </c>
      <c r="D319" s="257">
        <f>VLOOKUP(46,'４×＋Ｍ'!C48:K48,6)</f>
        <v>0</v>
      </c>
      <c r="E319" s="242"/>
      <c r="F319" s="232"/>
      <c r="H319" s="256">
        <v>2</v>
      </c>
      <c r="I319" s="257">
        <f>VLOOKUP(53,'４×＋Ｍ'!C55:K55,4)</f>
        <v>0</v>
      </c>
      <c r="J319" s="258">
        <f>VLOOKUP(53,'４×＋Ｍ'!C55:K55,5)</f>
        <v>0</v>
      </c>
      <c r="K319" s="257">
        <f>VLOOKUP(53,'４×＋Ｍ'!C55:K55,6)</f>
        <v>0</v>
      </c>
      <c r="L319" s="242"/>
      <c r="M319" s="232"/>
    </row>
    <row r="320" spans="1:13" ht="15.75" hidden="1" customHeight="1" x14ac:dyDescent="0.2">
      <c r="A320" s="256" t="s">
        <v>27</v>
      </c>
      <c r="B320" s="257">
        <f>VLOOKUP(47,'４×＋Ｍ'!C49:K49,4)</f>
        <v>0</v>
      </c>
      <c r="C320" s="258">
        <f>VLOOKUP(47,'４×＋Ｍ'!C49:K49,5)</f>
        <v>0</v>
      </c>
      <c r="D320" s="257">
        <f>VLOOKUP(47,'４×＋Ｍ'!C49:K49,6)</f>
        <v>0</v>
      </c>
      <c r="E320" s="242"/>
      <c r="F320" s="232"/>
      <c r="H320" s="256" t="s">
        <v>27</v>
      </c>
      <c r="I320" s="260">
        <f>VLOOKUP(54,'４×＋Ｍ'!C56:K56,4)</f>
        <v>0</v>
      </c>
      <c r="J320" s="258">
        <f>VLOOKUP(54,'４×＋Ｍ'!C56:K56,5)</f>
        <v>0</v>
      </c>
      <c r="K320" s="257">
        <f>VLOOKUP(54,'４×＋Ｍ'!C56:K56,6)</f>
        <v>0</v>
      </c>
      <c r="L320" s="242"/>
      <c r="M320" s="232"/>
    </row>
    <row r="321" spans="1:13" ht="15.75" hidden="1" customHeight="1" x14ac:dyDescent="0.2">
      <c r="A321" s="256" t="s">
        <v>28</v>
      </c>
      <c r="B321" s="257">
        <f>VLOOKUP(48,'４×＋Ｍ'!C50:K50,4)</f>
        <v>0</v>
      </c>
      <c r="C321" s="258">
        <f>VLOOKUP(48,'４×＋Ｍ'!C50:K50,5)</f>
        <v>0</v>
      </c>
      <c r="D321" s="257">
        <f>VLOOKUP(48,'４×＋Ｍ'!C50:K50,6)</f>
        <v>0</v>
      </c>
      <c r="E321" s="242"/>
      <c r="F321" s="232"/>
      <c r="H321" s="256" t="s">
        <v>28</v>
      </c>
      <c r="I321" s="257">
        <f>VLOOKUP(55,'４×＋Ｍ'!C57:K57,4)</f>
        <v>0</v>
      </c>
      <c r="J321" s="258">
        <f>VLOOKUP(55,'４×＋Ｍ'!C57:K57,5)</f>
        <v>0</v>
      </c>
      <c r="K321" s="257">
        <f>VLOOKUP(55,'４×＋Ｍ'!C57:K57,6)</f>
        <v>0</v>
      </c>
      <c r="L321" s="242"/>
      <c r="M321" s="232"/>
    </row>
    <row r="322" spans="1:13" ht="15.75" hidden="1" customHeight="1" thickBot="1" x14ac:dyDescent="0.25">
      <c r="A322" s="248" t="s">
        <v>28</v>
      </c>
      <c r="B322" s="240">
        <f>VLOOKUP(49,'４×＋Ｍ'!C51:K51,4)</f>
        <v>0</v>
      </c>
      <c r="C322" s="241">
        <f>VLOOKUP(49,'４×＋Ｍ'!C51:K51,5)</f>
        <v>0</v>
      </c>
      <c r="D322" s="240">
        <f>VLOOKUP(49,'４×＋Ｍ'!C51:K51,6)</f>
        <v>0</v>
      </c>
      <c r="E322" s="242"/>
      <c r="F322" s="232"/>
      <c r="H322" s="248" t="s">
        <v>28</v>
      </c>
      <c r="I322" s="240">
        <f>VLOOKUP(56,'４×＋Ｍ'!C58:K58,4)</f>
        <v>0</v>
      </c>
      <c r="J322" s="241">
        <f>VLOOKUP(56,'４×＋Ｍ'!C58:K58,5)</f>
        <v>0</v>
      </c>
      <c r="K322" s="240">
        <f>VLOOKUP(56,'４×＋Ｍ'!C58:K58,6)</f>
        <v>0</v>
      </c>
      <c r="L322" s="242"/>
      <c r="M322" s="232"/>
    </row>
    <row r="323" spans="1:13" ht="13.5" hidden="1" thickBot="1" x14ac:dyDescent="0.25">
      <c r="A323" s="232"/>
      <c r="B323" s="232"/>
      <c r="D323" s="232"/>
      <c r="E323" s="232"/>
      <c r="F323" s="232"/>
      <c r="H323" s="232"/>
    </row>
    <row r="324" spans="1:13" ht="13.5" hidden="1" thickBot="1" x14ac:dyDescent="0.25">
      <c r="A324" s="245" t="s">
        <v>374</v>
      </c>
      <c r="B324" s="606">
        <f>VLOOKUP(57,'４×＋Ｍ'!C59:K59,2)</f>
        <v>0</v>
      </c>
      <c r="C324" s="606"/>
      <c r="D324" s="246" t="s">
        <v>19</v>
      </c>
      <c r="E324" s="607">
        <f>VLOOKUP(57,'４×＋Ｍ'!C59:K59,9)</f>
        <v>0</v>
      </c>
      <c r="F324" s="608"/>
      <c r="H324" s="245" t="s">
        <v>23</v>
      </c>
      <c r="I324" s="606">
        <f>VLOOKUP(64,'４×＋Ｍ'!C66:K66,2)</f>
        <v>0</v>
      </c>
      <c r="J324" s="606"/>
      <c r="K324" s="246" t="s">
        <v>19</v>
      </c>
      <c r="L324" s="607">
        <f>VLOOKUP(64,'４×＋Ｍ'!C66:K66,9)</f>
        <v>0</v>
      </c>
      <c r="M324" s="608"/>
    </row>
    <row r="325" spans="1:13" ht="13" hidden="1" x14ac:dyDescent="0.2">
      <c r="A325" s="249" t="s">
        <v>20</v>
      </c>
      <c r="B325" s="250" t="s">
        <v>24</v>
      </c>
      <c r="C325" s="251" t="s">
        <v>25</v>
      </c>
      <c r="D325" s="250" t="s">
        <v>21</v>
      </c>
      <c r="E325" s="238"/>
      <c r="F325" s="239"/>
      <c r="H325" s="249" t="s">
        <v>20</v>
      </c>
      <c r="I325" s="250" t="s">
        <v>24</v>
      </c>
      <c r="J325" s="251" t="s">
        <v>25</v>
      </c>
      <c r="K325" s="250" t="s">
        <v>21</v>
      </c>
      <c r="L325" s="238"/>
      <c r="M325" s="239"/>
    </row>
    <row r="326" spans="1:13" ht="13" hidden="1" x14ac:dyDescent="0.2">
      <c r="A326" s="256" t="s">
        <v>26</v>
      </c>
      <c r="B326" s="257">
        <f>VLOOKUP(57,'４×＋Ｍ'!C59:K59,4)</f>
        <v>0</v>
      </c>
      <c r="C326" s="258">
        <f>VLOOKUP(57,'４×＋Ｍ'!C59:K59,5)</f>
        <v>0</v>
      </c>
      <c r="D326" s="257">
        <f>VLOOKUP(57,'４×＋Ｍ'!C59:K59,6)</f>
        <v>0</v>
      </c>
      <c r="E326" s="242"/>
      <c r="F326" s="232"/>
      <c r="H326" s="256" t="s">
        <v>26</v>
      </c>
      <c r="I326" s="257">
        <f>VLOOKUP(64,'４×＋Ｍ'!C66:K66,4)</f>
        <v>0</v>
      </c>
      <c r="J326" s="258">
        <f>VLOOKUP(64,'４×＋Ｍ'!C66:K66,5)</f>
        <v>0</v>
      </c>
      <c r="K326" s="257">
        <f>VLOOKUP(64,'４×＋Ｍ'!C66:K66,6)</f>
        <v>0</v>
      </c>
      <c r="L326" s="242"/>
      <c r="M326" s="232"/>
    </row>
    <row r="327" spans="1:13" ht="13" hidden="1" x14ac:dyDescent="0.2">
      <c r="A327" s="256" t="s">
        <v>22</v>
      </c>
      <c r="B327" s="257">
        <f>VLOOKUP(58,'４×＋Ｍ'!C60:K60,4)</f>
        <v>0</v>
      </c>
      <c r="C327" s="258">
        <f>VLOOKUP(58,'４×＋Ｍ'!C60:K60,5)</f>
        <v>0</v>
      </c>
      <c r="D327" s="257">
        <f>VLOOKUP(58,'４×＋Ｍ'!C60:K60,6)</f>
        <v>0</v>
      </c>
      <c r="E327" s="242"/>
      <c r="F327" s="232"/>
      <c r="H327" s="256" t="s">
        <v>22</v>
      </c>
      <c r="I327" s="257">
        <f>VLOOKUP(65,'４×＋Ｍ'!C67:K67,4)</f>
        <v>0</v>
      </c>
      <c r="J327" s="258">
        <f>VLOOKUP(65,'４×＋Ｍ'!C67:K67,5)</f>
        <v>0</v>
      </c>
      <c r="K327" s="257">
        <f>VLOOKUP(65,'４×＋Ｍ'!C67:K67,6)</f>
        <v>0</v>
      </c>
      <c r="L327" s="242"/>
      <c r="M327" s="232"/>
    </row>
    <row r="328" spans="1:13" ht="13" hidden="1" x14ac:dyDescent="0.2">
      <c r="A328" s="256">
        <v>3</v>
      </c>
      <c r="B328" s="257">
        <f>VLOOKUP(59,'４×＋Ｍ'!C61:K61,4)</f>
        <v>0</v>
      </c>
      <c r="C328" s="258">
        <f>VLOOKUP(59,'４×＋Ｍ'!C61:K61,5)</f>
        <v>0</v>
      </c>
      <c r="D328" s="257">
        <f>VLOOKUP(59,'４×＋Ｍ'!C61:K61,6)</f>
        <v>0</v>
      </c>
      <c r="E328" s="242"/>
      <c r="F328" s="232"/>
      <c r="H328" s="256">
        <v>3</v>
      </c>
      <c r="I328" s="257">
        <f>VLOOKUP(66,'４×＋Ｍ'!C68:K68,4)</f>
        <v>0</v>
      </c>
      <c r="J328" s="258">
        <f>VLOOKUP(66,'４×＋Ｍ'!C68:K68,5)</f>
        <v>0</v>
      </c>
      <c r="K328" s="257">
        <f>VLOOKUP(66,'４×＋Ｍ'!C68:K68,6)</f>
        <v>0</v>
      </c>
      <c r="L328" s="242"/>
      <c r="M328" s="232"/>
    </row>
    <row r="329" spans="1:13" ht="13" hidden="1" x14ac:dyDescent="0.2">
      <c r="A329" s="256">
        <v>2</v>
      </c>
      <c r="B329" s="257">
        <f>VLOOKUP(60,'４×＋Ｍ'!C62:K62,4)</f>
        <v>0</v>
      </c>
      <c r="C329" s="258">
        <f>VLOOKUP(60,'４×＋Ｍ'!C62:K62,5)</f>
        <v>0</v>
      </c>
      <c r="D329" s="257">
        <f>VLOOKUP(60,'４×＋Ｍ'!C62:K62,6)</f>
        <v>0</v>
      </c>
      <c r="E329" s="242"/>
      <c r="F329" s="232"/>
      <c r="H329" s="256">
        <v>2</v>
      </c>
      <c r="I329" s="257">
        <f>VLOOKUP(67,'４×＋Ｍ'!C69:K69,4)</f>
        <v>0</v>
      </c>
      <c r="J329" s="258">
        <f>VLOOKUP(67,'４×＋Ｍ'!C69:K69,5)</f>
        <v>0</v>
      </c>
      <c r="K329" s="257">
        <f>VLOOKUP(67,'４×＋Ｍ'!C69:K69,6)</f>
        <v>0</v>
      </c>
      <c r="L329" s="242"/>
      <c r="M329" s="232"/>
    </row>
    <row r="330" spans="1:13" ht="13" hidden="1" x14ac:dyDescent="0.2">
      <c r="A330" s="256" t="s">
        <v>27</v>
      </c>
      <c r="B330" s="257">
        <f>VLOOKUP(61,'４×＋Ｍ'!C63:K63,4)</f>
        <v>0</v>
      </c>
      <c r="C330" s="258">
        <f>VLOOKUP(61,'４×＋Ｍ'!C63:K63,5)</f>
        <v>0</v>
      </c>
      <c r="D330" s="257">
        <f>VLOOKUP(61,'４×＋Ｍ'!C63:K63,6)</f>
        <v>0</v>
      </c>
      <c r="E330" s="242"/>
      <c r="F330" s="232"/>
      <c r="H330" s="256" t="s">
        <v>27</v>
      </c>
      <c r="I330" s="257">
        <f>VLOOKUP(68,'４×＋Ｍ'!C70:K70,4)</f>
        <v>0</v>
      </c>
      <c r="J330" s="258">
        <f>VLOOKUP(68,'４×＋Ｍ'!C70:K70,5)</f>
        <v>0</v>
      </c>
      <c r="K330" s="257">
        <f>VLOOKUP(68,'４×＋Ｍ'!C70:K70,6)</f>
        <v>0</v>
      </c>
      <c r="L330" s="242"/>
      <c r="M330" s="232"/>
    </row>
    <row r="331" spans="1:13" ht="13" hidden="1" x14ac:dyDescent="0.2">
      <c r="A331" s="256" t="s">
        <v>28</v>
      </c>
      <c r="B331" s="257">
        <f>VLOOKUP(62,'４×＋Ｍ'!C64:K64,4)</f>
        <v>0</v>
      </c>
      <c r="C331" s="258">
        <f>VLOOKUP(62,'４×＋Ｍ'!C64:K64,5)</f>
        <v>0</v>
      </c>
      <c r="D331" s="257">
        <f>VLOOKUP(62,'４×＋Ｍ'!C64:K64,6)</f>
        <v>0</v>
      </c>
      <c r="E331" s="242"/>
      <c r="F331" s="232"/>
      <c r="H331" s="256" t="s">
        <v>28</v>
      </c>
      <c r="I331" s="257">
        <f>VLOOKUP(69,'４×＋Ｍ'!C71:K71,4)</f>
        <v>0</v>
      </c>
      <c r="J331" s="258">
        <f>VLOOKUP(69,'４×＋Ｍ'!C71:K71,5)</f>
        <v>0</v>
      </c>
      <c r="K331" s="257">
        <f>VLOOKUP(69,'４×＋Ｍ'!C71:K71,6)</f>
        <v>0</v>
      </c>
      <c r="L331" s="242"/>
      <c r="M331" s="232"/>
    </row>
    <row r="332" spans="1:13" ht="13.5" hidden="1" thickBot="1" x14ac:dyDescent="0.25">
      <c r="A332" s="248" t="s">
        <v>28</v>
      </c>
      <c r="B332" s="240">
        <f>VLOOKUP(63,'４×＋Ｍ'!C65:K65,4)</f>
        <v>0</v>
      </c>
      <c r="C332" s="241">
        <f>VLOOKUP(63,'４×＋Ｍ'!C65:K65,5)</f>
        <v>0</v>
      </c>
      <c r="D332" s="240">
        <f>VLOOKUP(63,'４×＋Ｍ'!C65:K65,6)</f>
        <v>0</v>
      </c>
      <c r="E332" s="242"/>
      <c r="F332" s="232"/>
      <c r="H332" s="248" t="s">
        <v>28</v>
      </c>
      <c r="I332" s="240">
        <f>VLOOKUP(70,'４×＋Ｍ'!C72:K72,4)</f>
        <v>0</v>
      </c>
      <c r="J332" s="241">
        <f>VLOOKUP(70,'４×＋Ｍ'!C72:K72,5)</f>
        <v>0</v>
      </c>
      <c r="K332" s="240">
        <f>VLOOKUP(70,'４×＋Ｍ'!C72:K72,6)</f>
        <v>0</v>
      </c>
      <c r="L332" s="242"/>
      <c r="M332" s="232"/>
    </row>
    <row r="333" spans="1:13" ht="13.5" hidden="1" thickBot="1" x14ac:dyDescent="0.25">
      <c r="A333" s="232"/>
      <c r="B333" s="232"/>
      <c r="D333" s="232"/>
      <c r="E333" s="232"/>
      <c r="F333" s="232"/>
      <c r="H333" s="232"/>
    </row>
    <row r="334" spans="1:13" ht="13.5" hidden="1" thickBot="1" x14ac:dyDescent="0.25">
      <c r="A334" s="245" t="s">
        <v>374</v>
      </c>
      <c r="B334" s="606">
        <f>VLOOKUP(71,'４×＋Ｍ'!C73:K73,2)</f>
        <v>0</v>
      </c>
      <c r="C334" s="606"/>
      <c r="D334" s="246" t="s">
        <v>19</v>
      </c>
      <c r="E334" s="607">
        <f>VLOOKUP(71,'４×＋Ｍ'!C73:K73,9)</f>
        <v>0</v>
      </c>
      <c r="F334" s="608"/>
      <c r="H334" s="245" t="s">
        <v>23</v>
      </c>
      <c r="I334" s="606">
        <f>VLOOKUP(78,'４×＋Ｍ'!C80:K80,2)</f>
        <v>0</v>
      </c>
      <c r="J334" s="606"/>
      <c r="K334" s="246" t="s">
        <v>19</v>
      </c>
      <c r="L334" s="607">
        <f>VLOOKUP(78,'４×＋Ｍ'!C80:K80,9)</f>
        <v>0</v>
      </c>
      <c r="M334" s="608"/>
    </row>
    <row r="335" spans="1:13" ht="13" hidden="1" x14ac:dyDescent="0.2">
      <c r="A335" s="249" t="s">
        <v>20</v>
      </c>
      <c r="B335" s="250" t="s">
        <v>24</v>
      </c>
      <c r="C335" s="251" t="s">
        <v>25</v>
      </c>
      <c r="D335" s="250" t="s">
        <v>21</v>
      </c>
      <c r="E335" s="238"/>
      <c r="F335" s="239"/>
      <c r="H335" s="249" t="s">
        <v>20</v>
      </c>
      <c r="I335" s="250" t="s">
        <v>24</v>
      </c>
      <c r="J335" s="251" t="s">
        <v>25</v>
      </c>
      <c r="K335" s="250" t="s">
        <v>21</v>
      </c>
      <c r="L335" s="238"/>
      <c r="M335" s="239"/>
    </row>
    <row r="336" spans="1:13" ht="13" hidden="1" x14ac:dyDescent="0.2">
      <c r="A336" s="256" t="s">
        <v>26</v>
      </c>
      <c r="B336" s="257">
        <f>VLOOKUP(71,'４×＋Ｍ'!C73:K73,4)</f>
        <v>0</v>
      </c>
      <c r="C336" s="258">
        <f>VLOOKUP(71,'４×＋Ｍ'!C73:K73,5)</f>
        <v>0</v>
      </c>
      <c r="D336" s="257">
        <f>VLOOKUP(71,'４×＋Ｍ'!C73:K73,6)</f>
        <v>0</v>
      </c>
      <c r="E336" s="242"/>
      <c r="F336" s="232"/>
      <c r="H336" s="256" t="s">
        <v>26</v>
      </c>
      <c r="I336" s="257">
        <f>VLOOKUP(78,'４×＋Ｍ'!C80:K80,4)</f>
        <v>0</v>
      </c>
      <c r="J336" s="258">
        <f>VLOOKUP(78,'４×＋Ｍ'!C80:K80,5)</f>
        <v>0</v>
      </c>
      <c r="K336" s="257">
        <f>VLOOKUP(78,'４×＋Ｍ'!C80:K80,6)</f>
        <v>0</v>
      </c>
      <c r="L336" s="242"/>
      <c r="M336" s="232"/>
    </row>
    <row r="337" spans="1:13" ht="13" hidden="1" x14ac:dyDescent="0.2">
      <c r="A337" s="256" t="s">
        <v>22</v>
      </c>
      <c r="B337" s="257">
        <f>VLOOKUP(72,'４×＋Ｍ'!C74:K74,4)</f>
        <v>0</v>
      </c>
      <c r="C337" s="258">
        <f>VLOOKUP(72,'４×＋Ｍ'!C74:K74,5)</f>
        <v>0</v>
      </c>
      <c r="D337" s="257">
        <f>VLOOKUP(72,'４×＋Ｍ'!C74:K74,6)</f>
        <v>0</v>
      </c>
      <c r="E337" s="242"/>
      <c r="F337" s="232"/>
      <c r="H337" s="256" t="s">
        <v>22</v>
      </c>
      <c r="I337" s="257">
        <f>VLOOKUP(79,'４×＋Ｍ'!C81:K81,4)</f>
        <v>0</v>
      </c>
      <c r="J337" s="258">
        <f>VLOOKUP(79,'４×＋Ｍ'!C81:K81,5)</f>
        <v>0</v>
      </c>
      <c r="K337" s="257">
        <f>VLOOKUP(79,'４×＋Ｍ'!C81:K81,6)</f>
        <v>0</v>
      </c>
      <c r="L337" s="242"/>
      <c r="M337" s="232"/>
    </row>
    <row r="338" spans="1:13" ht="13" hidden="1" x14ac:dyDescent="0.2">
      <c r="A338" s="256">
        <v>3</v>
      </c>
      <c r="B338" s="257">
        <f>VLOOKUP(73,'４×＋Ｍ'!C75:K75,4)</f>
        <v>0</v>
      </c>
      <c r="C338" s="258">
        <f>VLOOKUP(73,'４×＋Ｍ'!C75:K75,5)</f>
        <v>0</v>
      </c>
      <c r="D338" s="257">
        <f>VLOOKUP(73,'４×＋Ｍ'!C75:K75,6)</f>
        <v>0</v>
      </c>
      <c r="E338" s="242"/>
      <c r="F338" s="232"/>
      <c r="H338" s="256">
        <v>3</v>
      </c>
      <c r="I338" s="257">
        <f>VLOOKUP(80,'４×＋Ｍ'!C82:K82,4)</f>
        <v>0</v>
      </c>
      <c r="J338" s="258">
        <f>VLOOKUP(80,'４×＋Ｍ'!C82:K82,5)</f>
        <v>0</v>
      </c>
      <c r="K338" s="257">
        <f>VLOOKUP(80,'４×＋Ｍ'!C82:K82,6)</f>
        <v>0</v>
      </c>
      <c r="L338" s="242"/>
      <c r="M338" s="232"/>
    </row>
    <row r="339" spans="1:13" ht="13" hidden="1" x14ac:dyDescent="0.2">
      <c r="A339" s="256">
        <v>2</v>
      </c>
      <c r="B339" s="257">
        <f>VLOOKUP(74,'４×＋Ｍ'!C76:K76,4)</f>
        <v>0</v>
      </c>
      <c r="C339" s="258">
        <f>VLOOKUP(74,'４×＋Ｍ'!C76:K76,5)</f>
        <v>0</v>
      </c>
      <c r="D339" s="257">
        <f>VLOOKUP(74,'４×＋Ｍ'!C76:K76,6)</f>
        <v>0</v>
      </c>
      <c r="E339" s="242"/>
      <c r="F339" s="232"/>
      <c r="H339" s="256">
        <v>2</v>
      </c>
      <c r="I339" s="257">
        <f>VLOOKUP(81,'４×＋Ｍ'!C83:K83,4)</f>
        <v>0</v>
      </c>
      <c r="J339" s="258">
        <f>VLOOKUP(81,'４×＋Ｍ'!C83:K83,5)</f>
        <v>0</v>
      </c>
      <c r="K339" s="257">
        <f>VLOOKUP(81,'４×＋Ｍ'!C83:K83,6)</f>
        <v>0</v>
      </c>
      <c r="L339" s="242"/>
      <c r="M339" s="232"/>
    </row>
    <row r="340" spans="1:13" ht="13" hidden="1" x14ac:dyDescent="0.2">
      <c r="A340" s="256" t="s">
        <v>27</v>
      </c>
      <c r="B340" s="257">
        <f>VLOOKUP(75,'４×＋Ｍ'!C77:K77,4)</f>
        <v>0</v>
      </c>
      <c r="C340" s="258">
        <f>VLOOKUP(75,'４×＋Ｍ'!C77:K77,5)</f>
        <v>0</v>
      </c>
      <c r="D340" s="257">
        <f>VLOOKUP(75,'４×＋Ｍ'!C77:K77,6)</f>
        <v>0</v>
      </c>
      <c r="E340" s="242"/>
      <c r="F340" s="232"/>
      <c r="H340" s="256" t="s">
        <v>27</v>
      </c>
      <c r="I340" s="257">
        <f>VLOOKUP(82,'４×＋Ｍ'!C84:K84,4)</f>
        <v>0</v>
      </c>
      <c r="J340" s="258">
        <f>VLOOKUP(82,'４×＋Ｍ'!C84:K84,5)</f>
        <v>0</v>
      </c>
      <c r="K340" s="257">
        <f>VLOOKUP(82,'４×＋Ｍ'!C84:K84,6)</f>
        <v>0</v>
      </c>
      <c r="L340" s="242"/>
      <c r="M340" s="232"/>
    </row>
    <row r="341" spans="1:13" ht="13" hidden="1" x14ac:dyDescent="0.2">
      <c r="A341" s="256" t="s">
        <v>28</v>
      </c>
      <c r="B341" s="257">
        <f>VLOOKUP(76,'４×＋Ｍ'!C78:K78,4)</f>
        <v>0</v>
      </c>
      <c r="C341" s="258">
        <f>VLOOKUP(76,'４×＋Ｍ'!C78:K78,5)</f>
        <v>0</v>
      </c>
      <c r="D341" s="257">
        <f>VLOOKUP(76,'４×＋Ｍ'!C78:K78,6)</f>
        <v>0</v>
      </c>
      <c r="E341" s="242"/>
      <c r="F341" s="232"/>
      <c r="H341" s="256" t="s">
        <v>28</v>
      </c>
      <c r="I341" s="257">
        <f>VLOOKUP(83,'４×＋Ｍ'!C85:K85,4)</f>
        <v>0</v>
      </c>
      <c r="J341" s="258">
        <f>VLOOKUP(83,'４×＋Ｍ'!C85:K85,5)</f>
        <v>0</v>
      </c>
      <c r="K341" s="257">
        <f>VLOOKUP(83,'４×＋Ｍ'!C85:K85,6)</f>
        <v>0</v>
      </c>
      <c r="L341" s="242"/>
      <c r="M341" s="232"/>
    </row>
    <row r="342" spans="1:13" ht="13.5" hidden="1" thickBot="1" x14ac:dyDescent="0.25">
      <c r="A342" s="248" t="s">
        <v>28</v>
      </c>
      <c r="B342" s="240">
        <f>VLOOKUP(77,'４×＋Ｍ'!C79:K79,4)</f>
        <v>0</v>
      </c>
      <c r="C342" s="241">
        <f>VLOOKUP(77,'４×＋Ｍ'!C79:K79,5)</f>
        <v>0</v>
      </c>
      <c r="D342" s="240">
        <f>VLOOKUP(77,'４×＋Ｍ'!C79:K79,6)</f>
        <v>0</v>
      </c>
      <c r="E342" s="242"/>
      <c r="F342" s="232"/>
      <c r="H342" s="248" t="s">
        <v>28</v>
      </c>
      <c r="I342" s="240">
        <f>VLOOKUP(84,'４×＋Ｍ'!C86:K86,4)</f>
        <v>0</v>
      </c>
      <c r="J342" s="241">
        <f>VLOOKUP(84,'４×＋Ｍ'!C86:K86,5)</f>
        <v>0</v>
      </c>
      <c r="K342" s="240">
        <f>VLOOKUP(84,'４×＋Ｍ'!C86:K86,6)</f>
        <v>0</v>
      </c>
      <c r="L342" s="242"/>
      <c r="M342" s="232"/>
    </row>
    <row r="343" spans="1:13" ht="13.5" hidden="1" thickBot="1" x14ac:dyDescent="0.25">
      <c r="A343" s="232"/>
      <c r="B343" s="232"/>
      <c r="D343" s="232"/>
      <c r="E343" s="232"/>
      <c r="F343" s="232"/>
      <c r="H343" s="232"/>
    </row>
    <row r="344" spans="1:13" ht="13.5" hidden="1" thickBot="1" x14ac:dyDescent="0.25">
      <c r="A344" s="245" t="s">
        <v>374</v>
      </c>
      <c r="B344" s="606">
        <f>VLOOKUP(85,'４×＋Ｍ'!C87:K87,2)</f>
        <v>0</v>
      </c>
      <c r="C344" s="606"/>
      <c r="D344" s="246" t="s">
        <v>19</v>
      </c>
      <c r="E344" s="607">
        <f>VLOOKUP(85,'４×＋Ｍ'!C87:K87,9)</f>
        <v>0</v>
      </c>
      <c r="F344" s="608"/>
      <c r="H344" s="245" t="s">
        <v>23</v>
      </c>
      <c r="I344" s="606">
        <f>VLOOKUP(92,'４×＋Ｍ'!C94:K94,2)</f>
        <v>0</v>
      </c>
      <c r="J344" s="606"/>
      <c r="K344" s="246" t="s">
        <v>19</v>
      </c>
      <c r="L344" s="607">
        <f>VLOOKUP(92,'４×＋Ｍ'!C94:K94,9)</f>
        <v>0</v>
      </c>
      <c r="M344" s="608"/>
    </row>
    <row r="345" spans="1:13" ht="13" hidden="1" x14ac:dyDescent="0.2">
      <c r="A345" s="249" t="s">
        <v>20</v>
      </c>
      <c r="B345" s="250" t="s">
        <v>24</v>
      </c>
      <c r="C345" s="251" t="s">
        <v>25</v>
      </c>
      <c r="D345" s="250" t="s">
        <v>21</v>
      </c>
      <c r="E345" s="238"/>
      <c r="F345" s="239"/>
      <c r="H345" s="249" t="s">
        <v>20</v>
      </c>
      <c r="I345" s="250" t="s">
        <v>24</v>
      </c>
      <c r="J345" s="251" t="s">
        <v>25</v>
      </c>
      <c r="K345" s="250" t="s">
        <v>21</v>
      </c>
      <c r="L345" s="238"/>
      <c r="M345" s="239"/>
    </row>
    <row r="346" spans="1:13" ht="13" hidden="1" x14ac:dyDescent="0.2">
      <c r="A346" s="256" t="s">
        <v>26</v>
      </c>
      <c r="B346" s="257">
        <f>VLOOKUP(85,'４×＋Ｍ'!C87:K87,4)</f>
        <v>0</v>
      </c>
      <c r="C346" s="258">
        <f>VLOOKUP(85,'４×＋Ｍ'!C87:K87,5)</f>
        <v>0</v>
      </c>
      <c r="D346" s="257">
        <f>VLOOKUP(85,'４×＋Ｍ'!C87:K87,6)</f>
        <v>0</v>
      </c>
      <c r="E346" s="242"/>
      <c r="F346" s="232"/>
      <c r="H346" s="256" t="s">
        <v>26</v>
      </c>
      <c r="I346" s="257">
        <f>VLOOKUP(92,'４×＋Ｍ'!C94:K94,4)</f>
        <v>0</v>
      </c>
      <c r="J346" s="258">
        <f>VLOOKUP(92,'４×＋Ｍ'!C94:K94,5)</f>
        <v>0</v>
      </c>
      <c r="K346" s="257">
        <f>VLOOKUP(92,'４×＋Ｍ'!C94:K94,6)</f>
        <v>0</v>
      </c>
      <c r="L346" s="242"/>
      <c r="M346" s="232"/>
    </row>
    <row r="347" spans="1:13" ht="13" hidden="1" x14ac:dyDescent="0.2">
      <c r="A347" s="256" t="s">
        <v>22</v>
      </c>
      <c r="B347" s="257">
        <f>VLOOKUP(86,'４×＋Ｍ'!C88:K88,4)</f>
        <v>0</v>
      </c>
      <c r="C347" s="258">
        <f>VLOOKUP(86,'４×＋Ｍ'!C88:K88,5)</f>
        <v>0</v>
      </c>
      <c r="D347" s="257">
        <f>VLOOKUP(86,'４×＋Ｍ'!C88:K88,6)</f>
        <v>0</v>
      </c>
      <c r="E347" s="242"/>
      <c r="F347" s="232"/>
      <c r="H347" s="256" t="s">
        <v>22</v>
      </c>
      <c r="I347" s="257">
        <f>VLOOKUP(93,'４×＋Ｍ'!C95:K95,4)</f>
        <v>0</v>
      </c>
      <c r="J347" s="258">
        <f>VLOOKUP(93,'４×＋Ｍ'!C95:K95,5)</f>
        <v>0</v>
      </c>
      <c r="K347" s="257">
        <f>VLOOKUP(93,'４×＋Ｍ'!C95:K95,6)</f>
        <v>0</v>
      </c>
      <c r="L347" s="242"/>
      <c r="M347" s="232"/>
    </row>
    <row r="348" spans="1:13" ht="13" hidden="1" x14ac:dyDescent="0.2">
      <c r="A348" s="256">
        <v>3</v>
      </c>
      <c r="B348" s="257">
        <f>VLOOKUP(87,'４×＋Ｍ'!C89:K89,4)</f>
        <v>0</v>
      </c>
      <c r="C348" s="258">
        <f>VLOOKUP(87,'４×＋Ｍ'!C89:K89,5)</f>
        <v>0</v>
      </c>
      <c r="D348" s="257">
        <f>VLOOKUP(87,'４×＋Ｍ'!C89:K89,6)</f>
        <v>0</v>
      </c>
      <c r="E348" s="242"/>
      <c r="F348" s="232"/>
      <c r="H348" s="256">
        <v>3</v>
      </c>
      <c r="I348" s="257">
        <f>VLOOKUP(94,'４×＋Ｍ'!C96:K96,4)</f>
        <v>0</v>
      </c>
      <c r="J348" s="258">
        <f>VLOOKUP(94,'４×＋Ｍ'!C96:K96,5)</f>
        <v>0</v>
      </c>
      <c r="K348" s="257">
        <f>VLOOKUP(94,'４×＋Ｍ'!C96:K96,6)</f>
        <v>0</v>
      </c>
      <c r="L348" s="242"/>
      <c r="M348" s="232"/>
    </row>
    <row r="349" spans="1:13" ht="13" hidden="1" x14ac:dyDescent="0.2">
      <c r="A349" s="256">
        <v>2</v>
      </c>
      <c r="B349" s="257">
        <f>VLOOKUP(88,'４×＋Ｍ'!C90:K90,4)</f>
        <v>0</v>
      </c>
      <c r="C349" s="258">
        <f>VLOOKUP(88,'４×＋Ｍ'!C90:K90,5)</f>
        <v>0</v>
      </c>
      <c r="D349" s="257">
        <f>VLOOKUP(88,'４×＋Ｍ'!C90:K90,6)</f>
        <v>0</v>
      </c>
      <c r="E349" s="242"/>
      <c r="F349" s="232"/>
      <c r="H349" s="256">
        <v>2</v>
      </c>
      <c r="I349" s="257">
        <f>VLOOKUP(95,'４×＋Ｍ'!C97:K97,4)</f>
        <v>0</v>
      </c>
      <c r="J349" s="258">
        <f>VLOOKUP(95,'４×＋Ｍ'!C97:K97,5)</f>
        <v>0</v>
      </c>
      <c r="K349" s="257">
        <f>VLOOKUP(95,'４×＋Ｍ'!C97:K97,6)</f>
        <v>0</v>
      </c>
      <c r="L349" s="242"/>
      <c r="M349" s="232"/>
    </row>
    <row r="350" spans="1:13" ht="13" hidden="1" x14ac:dyDescent="0.2">
      <c r="A350" s="256" t="s">
        <v>27</v>
      </c>
      <c r="B350" s="257">
        <f>VLOOKUP(89,'４×＋Ｍ'!C91:K91,4)</f>
        <v>0</v>
      </c>
      <c r="C350" s="258">
        <f>VLOOKUP(89,'４×＋Ｍ'!C91:K91,5)</f>
        <v>0</v>
      </c>
      <c r="D350" s="257">
        <f>VLOOKUP(89,'４×＋Ｍ'!C91:K91,6)</f>
        <v>0</v>
      </c>
      <c r="E350" s="242"/>
      <c r="F350" s="232"/>
      <c r="H350" s="256" t="s">
        <v>27</v>
      </c>
      <c r="I350" s="257">
        <f>VLOOKUP(96,'４×＋Ｍ'!C98:K98,4)</f>
        <v>0</v>
      </c>
      <c r="J350" s="258">
        <f>VLOOKUP(96,'４×＋Ｍ'!C98:K98,5)</f>
        <v>0</v>
      </c>
      <c r="K350" s="257">
        <f>VLOOKUP(96,'４×＋Ｍ'!C98:K98,6)</f>
        <v>0</v>
      </c>
      <c r="L350" s="242"/>
      <c r="M350" s="232"/>
    </row>
    <row r="351" spans="1:13" ht="13" hidden="1" x14ac:dyDescent="0.2">
      <c r="A351" s="256" t="s">
        <v>28</v>
      </c>
      <c r="B351" s="257">
        <f>VLOOKUP(90,'４×＋Ｍ'!C92:K92,4)</f>
        <v>0</v>
      </c>
      <c r="C351" s="258">
        <f>VLOOKUP(90,'４×＋Ｍ'!C92:K92,5)</f>
        <v>0</v>
      </c>
      <c r="D351" s="257">
        <f>VLOOKUP(90,'４×＋Ｍ'!C92:K92,6)</f>
        <v>0</v>
      </c>
      <c r="E351" s="242"/>
      <c r="F351" s="232"/>
      <c r="H351" s="256" t="s">
        <v>28</v>
      </c>
      <c r="I351" s="257">
        <f>VLOOKUP(97,'４×＋Ｍ'!C99:K99,4)</f>
        <v>0</v>
      </c>
      <c r="J351" s="258">
        <f>VLOOKUP(97,'４×＋Ｍ'!C99:K99,5)</f>
        <v>0</v>
      </c>
      <c r="K351" s="257">
        <f>VLOOKUP(97,'４×＋Ｍ'!C99:K99,6)</f>
        <v>0</v>
      </c>
      <c r="L351" s="242"/>
      <c r="M351" s="232"/>
    </row>
    <row r="352" spans="1:13" ht="13.5" hidden="1" thickBot="1" x14ac:dyDescent="0.25">
      <c r="A352" s="248" t="s">
        <v>28</v>
      </c>
      <c r="B352" s="240">
        <f>VLOOKUP(91,'４×＋Ｍ'!C93:K93,4)</f>
        <v>0</v>
      </c>
      <c r="C352" s="241">
        <f>VLOOKUP(91,'４×＋Ｍ'!C93:K93,5)</f>
        <v>0</v>
      </c>
      <c r="D352" s="240">
        <f>VLOOKUP(91,'４×＋Ｍ'!C93:K93,6)</f>
        <v>0</v>
      </c>
      <c r="E352" s="242"/>
      <c r="F352" s="232"/>
      <c r="H352" s="248" t="s">
        <v>28</v>
      </c>
      <c r="I352" s="240">
        <f>VLOOKUP(98,'４×＋Ｍ'!C100:K100,4)</f>
        <v>0</v>
      </c>
      <c r="J352" s="241">
        <f>VLOOKUP(98,'４×＋Ｍ'!C100:K100,5)</f>
        <v>0</v>
      </c>
      <c r="K352" s="240">
        <f>VLOOKUP(98,'４×＋Ｍ'!C100:K100,6)</f>
        <v>0</v>
      </c>
      <c r="L352" s="242"/>
      <c r="M352" s="232"/>
    </row>
    <row r="353" spans="1:13" ht="13.5" hidden="1" thickBot="1" x14ac:dyDescent="0.25">
      <c r="A353" s="262"/>
      <c r="B353" s="262"/>
      <c r="C353" s="262"/>
      <c r="D353" s="262"/>
      <c r="E353" s="232"/>
      <c r="F353" s="232"/>
      <c r="H353" s="232"/>
      <c r="I353" s="232"/>
      <c r="K353" s="232"/>
      <c r="L353" s="232"/>
      <c r="M353" s="232"/>
    </row>
    <row r="354" spans="1:13" ht="13.5" hidden="1" thickBot="1" x14ac:dyDescent="0.25">
      <c r="A354" s="245" t="s">
        <v>335</v>
      </c>
      <c r="B354" s="606">
        <f>VLOOKUP(99,'４×＋Ｍ'!C101:K101,2)</f>
        <v>0</v>
      </c>
      <c r="C354" s="606"/>
      <c r="D354" s="246" t="s">
        <v>19</v>
      </c>
      <c r="E354" s="607">
        <f>VLOOKUP(99,'４×＋Ｍ'!C101:K101,9)</f>
        <v>0</v>
      </c>
      <c r="F354" s="608"/>
      <c r="H354" s="245" t="s">
        <v>23</v>
      </c>
      <c r="I354" s="606">
        <f>VLOOKUP(106,'４×＋Ｍ'!C108:K108,2)</f>
        <v>0</v>
      </c>
      <c r="J354" s="606"/>
      <c r="K354" s="246" t="s">
        <v>19</v>
      </c>
      <c r="L354" s="607">
        <f>VLOOKUP(106,'４×＋Ｍ'!C108:K108,9)</f>
        <v>0</v>
      </c>
      <c r="M354" s="608"/>
    </row>
    <row r="355" spans="1:13" ht="13" hidden="1" x14ac:dyDescent="0.2">
      <c r="A355" s="249" t="s">
        <v>20</v>
      </c>
      <c r="B355" s="250" t="s">
        <v>24</v>
      </c>
      <c r="C355" s="251" t="s">
        <v>25</v>
      </c>
      <c r="D355" s="250" t="s">
        <v>21</v>
      </c>
      <c r="E355" s="238"/>
      <c r="F355" s="239"/>
      <c r="H355" s="249" t="s">
        <v>20</v>
      </c>
      <c r="I355" s="250" t="s">
        <v>24</v>
      </c>
      <c r="J355" s="251" t="s">
        <v>25</v>
      </c>
      <c r="K355" s="250" t="s">
        <v>21</v>
      </c>
      <c r="L355" s="238"/>
      <c r="M355" s="239"/>
    </row>
    <row r="356" spans="1:13" ht="13" hidden="1" x14ac:dyDescent="0.2">
      <c r="A356" s="256" t="s">
        <v>26</v>
      </c>
      <c r="B356" s="257">
        <f>VLOOKUP(99,'４×＋Ｍ'!C101:K101,4)</f>
        <v>0</v>
      </c>
      <c r="C356" s="258">
        <f>VLOOKUP(99,'４×＋Ｍ'!C101:K101,5)</f>
        <v>0</v>
      </c>
      <c r="D356" s="257">
        <f>VLOOKUP(99,'４×＋Ｍ'!C101:K101,6)</f>
        <v>0</v>
      </c>
      <c r="E356" s="242"/>
      <c r="F356" s="232"/>
      <c r="H356" s="256" t="s">
        <v>26</v>
      </c>
      <c r="I356" s="257">
        <f>VLOOKUP(106,'４×＋Ｍ'!C108:K108,4)</f>
        <v>0</v>
      </c>
      <c r="J356" s="258">
        <f>VLOOKUP(106,'４×＋Ｍ'!C108:K108,5)</f>
        <v>0</v>
      </c>
      <c r="K356" s="257">
        <f>VLOOKUP(106,'４×＋Ｍ'!C108:K108,6)</f>
        <v>0</v>
      </c>
      <c r="L356" s="242"/>
      <c r="M356" s="232"/>
    </row>
    <row r="357" spans="1:13" ht="13" hidden="1" x14ac:dyDescent="0.2">
      <c r="A357" s="256" t="s">
        <v>22</v>
      </c>
      <c r="B357" s="257">
        <f>VLOOKUP(100,'４×＋Ｍ'!C102:K102,4)</f>
        <v>0</v>
      </c>
      <c r="C357" s="258">
        <f>VLOOKUP(100,'４×＋Ｍ'!C102:K102,5)</f>
        <v>0</v>
      </c>
      <c r="D357" s="257">
        <f>VLOOKUP(100,'４×＋Ｍ'!C102:K102,6)</f>
        <v>0</v>
      </c>
      <c r="E357" s="242"/>
      <c r="F357" s="232"/>
      <c r="H357" s="256" t="s">
        <v>22</v>
      </c>
      <c r="I357" s="257">
        <f>VLOOKUP(107,'４×＋Ｍ'!C109:K109,4)</f>
        <v>0</v>
      </c>
      <c r="J357" s="258">
        <f>VLOOKUP(107,'４×＋Ｍ'!C109:K109,5)</f>
        <v>0</v>
      </c>
      <c r="K357" s="257">
        <f>VLOOKUP(107,'４×＋Ｍ'!C109:K109,6)</f>
        <v>0</v>
      </c>
      <c r="L357" s="242"/>
      <c r="M357" s="232"/>
    </row>
    <row r="358" spans="1:13" ht="13" hidden="1" x14ac:dyDescent="0.2">
      <c r="A358" s="256">
        <v>3</v>
      </c>
      <c r="B358" s="257">
        <f>VLOOKUP(101,'４×＋Ｍ'!C103:K103,4)</f>
        <v>0</v>
      </c>
      <c r="C358" s="258">
        <f>VLOOKUP(101,'４×＋Ｍ'!C103:K103,5)</f>
        <v>0</v>
      </c>
      <c r="D358" s="257">
        <f>VLOOKUP(101,'４×＋Ｍ'!C103:K103,6)</f>
        <v>0</v>
      </c>
      <c r="E358" s="242"/>
      <c r="F358" s="232"/>
      <c r="H358" s="256">
        <v>3</v>
      </c>
      <c r="I358" s="257">
        <f>VLOOKUP(108,'４×＋Ｍ'!C110:K110,4)</f>
        <v>0</v>
      </c>
      <c r="J358" s="258">
        <f>VLOOKUP(108,'４×＋Ｍ'!C110:K110,5)</f>
        <v>0</v>
      </c>
      <c r="K358" s="257">
        <f>VLOOKUP(108,'４×＋Ｍ'!C110:K110,6)</f>
        <v>0</v>
      </c>
      <c r="L358" s="242"/>
      <c r="M358" s="232"/>
    </row>
    <row r="359" spans="1:13" ht="13" hidden="1" x14ac:dyDescent="0.2">
      <c r="A359" s="256">
        <v>2</v>
      </c>
      <c r="B359" s="257">
        <f>VLOOKUP(102,'４×＋Ｍ'!C104:K104,4)</f>
        <v>0</v>
      </c>
      <c r="C359" s="258">
        <f>VLOOKUP(102,'４×＋Ｍ'!C104:K104,5)</f>
        <v>0</v>
      </c>
      <c r="D359" s="257">
        <f>VLOOKUP(102,'４×＋Ｍ'!C104:K104,6)</f>
        <v>0</v>
      </c>
      <c r="E359" s="242"/>
      <c r="F359" s="232"/>
      <c r="H359" s="256">
        <v>2</v>
      </c>
      <c r="I359" s="257">
        <f>VLOOKUP(109,'４×＋Ｍ'!C111:K111,4)</f>
        <v>0</v>
      </c>
      <c r="J359" s="258">
        <f>VLOOKUP(109,'４×＋Ｍ'!C111:K111,5)</f>
        <v>0</v>
      </c>
      <c r="K359" s="257">
        <f>VLOOKUP(109,'４×＋Ｍ'!C111:K111,6)</f>
        <v>0</v>
      </c>
      <c r="L359" s="242"/>
      <c r="M359" s="232"/>
    </row>
    <row r="360" spans="1:13" ht="13" hidden="1" x14ac:dyDescent="0.2">
      <c r="A360" s="256" t="s">
        <v>27</v>
      </c>
      <c r="B360" s="257">
        <f>VLOOKUP(103,'４×＋Ｍ'!C105:K105,4)</f>
        <v>0</v>
      </c>
      <c r="C360" s="258">
        <f>VLOOKUP(103,'４×＋Ｍ'!C105:K105,5)</f>
        <v>0</v>
      </c>
      <c r="D360" s="257">
        <f>VLOOKUP(103,'４×＋Ｍ'!C105:K105,6)</f>
        <v>0</v>
      </c>
      <c r="E360" s="242"/>
      <c r="F360" s="232"/>
      <c r="H360" s="256" t="s">
        <v>27</v>
      </c>
      <c r="I360" s="257">
        <f>VLOOKUP(110,'４×＋Ｍ'!C112:K112,4)</f>
        <v>0</v>
      </c>
      <c r="J360" s="258">
        <f>VLOOKUP(110,'４×＋Ｍ'!C112:K112,5)</f>
        <v>0</v>
      </c>
      <c r="K360" s="257">
        <f>VLOOKUP(110,'４×＋Ｍ'!C112:K112,6)</f>
        <v>0</v>
      </c>
      <c r="L360" s="242"/>
      <c r="M360" s="232"/>
    </row>
    <row r="361" spans="1:13" ht="13" hidden="1" x14ac:dyDescent="0.2">
      <c r="A361" s="256" t="s">
        <v>28</v>
      </c>
      <c r="B361" s="257">
        <f>VLOOKUP(104,'４×＋Ｍ'!C106:K106,4)</f>
        <v>0</v>
      </c>
      <c r="C361" s="258">
        <f>VLOOKUP(104,'４×＋Ｍ'!C106:K106,5)</f>
        <v>0</v>
      </c>
      <c r="D361" s="257">
        <f>VLOOKUP(104,'４×＋Ｍ'!C106:K106,6)</f>
        <v>0</v>
      </c>
      <c r="E361" s="242"/>
      <c r="F361" s="232"/>
      <c r="H361" s="256" t="s">
        <v>28</v>
      </c>
      <c r="I361" s="257">
        <f>VLOOKUP(111,'４×＋Ｍ'!C113:K113,4)</f>
        <v>0</v>
      </c>
      <c r="J361" s="258">
        <f>VLOOKUP(111,'４×＋Ｍ'!C113:K113,5)</f>
        <v>0</v>
      </c>
      <c r="K361" s="257">
        <f>VLOOKUP(1116,'４×＋Ｍ'!C113:K113,6)</f>
        <v>0</v>
      </c>
      <c r="L361" s="242"/>
      <c r="M361" s="232"/>
    </row>
    <row r="362" spans="1:13" ht="13.5" hidden="1" thickBot="1" x14ac:dyDescent="0.25">
      <c r="A362" s="248" t="s">
        <v>28</v>
      </c>
      <c r="B362" s="240">
        <f>VLOOKUP(105,'４×＋Ｍ'!C107:K107,4)</f>
        <v>0</v>
      </c>
      <c r="C362" s="241">
        <f>VLOOKUP(105,'４×＋Ｍ'!C107:K107,5)</f>
        <v>0</v>
      </c>
      <c r="D362" s="240">
        <f>VLOOKUP(105,'４×＋Ｍ'!C107:K107,6)</f>
        <v>0</v>
      </c>
      <c r="E362" s="242"/>
      <c r="F362" s="232"/>
      <c r="H362" s="248" t="s">
        <v>28</v>
      </c>
      <c r="I362" s="240">
        <f>VLOOKUP(112,'４×＋Ｍ'!C114:K114,4)</f>
        <v>0</v>
      </c>
      <c r="J362" s="241">
        <f>VLOOKUP(112,'４×＋Ｍ'!C114:K114,5)</f>
        <v>0</v>
      </c>
      <c r="K362" s="240">
        <f>VLOOKUP(112,'４×＋Ｍ'!C114:K114,6)</f>
        <v>0</v>
      </c>
      <c r="L362" s="242"/>
      <c r="M362" s="232"/>
    </row>
    <row r="363" spans="1:13" ht="13" x14ac:dyDescent="0.2">
      <c r="A363" s="232"/>
      <c r="B363" s="232"/>
      <c r="D363" s="232"/>
      <c r="E363" s="232"/>
      <c r="F363" s="232"/>
      <c r="H363" s="232"/>
    </row>
    <row r="364" spans="1:13" s="243" customFormat="1" ht="16.5" x14ac:dyDescent="0.2">
      <c r="A364" s="243" t="s">
        <v>85</v>
      </c>
      <c r="C364" s="244"/>
      <c r="J364" s="244"/>
    </row>
    <row r="365" spans="1:13" ht="15.75" customHeight="1" thickBot="1" x14ac:dyDescent="0.25"/>
    <row r="366" spans="1:13" ht="15.75" customHeight="1" thickBot="1" x14ac:dyDescent="0.25">
      <c r="A366" s="245" t="s">
        <v>339</v>
      </c>
      <c r="B366" s="606" t="str">
        <f>VLOOKUP(1,'４×＋Ｗ'!C3:K3,2)</f>
        <v>浜松湖南高校A</v>
      </c>
      <c r="C366" s="606"/>
      <c r="D366" s="246" t="s">
        <v>19</v>
      </c>
      <c r="E366" s="607" t="str">
        <f>VLOOKUP(1,'４×＋Ｗ'!C3:K3,9)</f>
        <v>鈴木基弘</v>
      </c>
      <c r="F366" s="608"/>
      <c r="H366" s="245" t="s">
        <v>339</v>
      </c>
      <c r="I366" s="606" t="str">
        <f>VLOOKUP(8,'４×＋Ｗ'!C10:K10,2)</f>
        <v>浜松湖南高校B</v>
      </c>
      <c r="J366" s="606"/>
      <c r="K366" s="246" t="s">
        <v>19</v>
      </c>
      <c r="L366" s="606" t="str">
        <f>VLOOKUP(8,'４×＋Ｗ'!C10:K10,9)</f>
        <v>鈴木基弘</v>
      </c>
      <c r="M366" s="609"/>
    </row>
    <row r="367" spans="1:13" ht="15.75" customHeight="1" x14ac:dyDescent="0.2">
      <c r="A367" s="249" t="s">
        <v>20</v>
      </c>
      <c r="B367" s="250" t="s">
        <v>24</v>
      </c>
      <c r="C367" s="251" t="s">
        <v>25</v>
      </c>
      <c r="D367" s="250" t="s">
        <v>21</v>
      </c>
      <c r="E367" s="238"/>
      <c r="F367" s="239"/>
      <c r="H367" s="249" t="s">
        <v>20</v>
      </c>
      <c r="I367" s="250" t="s">
        <v>24</v>
      </c>
      <c r="J367" s="251" t="s">
        <v>25</v>
      </c>
      <c r="K367" s="250" t="s">
        <v>21</v>
      </c>
      <c r="L367" s="238"/>
      <c r="M367" s="239"/>
    </row>
    <row r="368" spans="1:13" ht="15.75" customHeight="1" x14ac:dyDescent="0.2">
      <c r="A368" s="256" t="s">
        <v>26</v>
      </c>
      <c r="B368" s="257" t="str">
        <f>VLOOKUP(1,'４×＋Ｗ'!C3:K3,4)</f>
        <v>竹内</v>
      </c>
      <c r="C368" s="258" t="str">
        <f>VLOOKUP(1,'４×＋Ｗ'!C3:K3,5)</f>
        <v>さくら</v>
      </c>
      <c r="D368" s="257">
        <f>VLOOKUP(1,'４×＋Ｗ'!C3:K3,6)</f>
        <v>2</v>
      </c>
      <c r="E368" s="242"/>
      <c r="F368" s="232"/>
      <c r="H368" s="256" t="s">
        <v>26</v>
      </c>
      <c r="I368" s="257" t="str">
        <f>VLOOKUP(8,'４×＋Ｗ'!C10:K10,4)</f>
        <v>岡部</v>
      </c>
      <c r="J368" s="258" t="str">
        <f>VLOOKUP(8,'４×＋Ｗ'!C10:K10,5)</f>
        <v>朱里</v>
      </c>
      <c r="K368" s="257">
        <f>VLOOKUP(8,'４×＋Ｗ'!C10:K10,6)</f>
        <v>2</v>
      </c>
      <c r="L368" s="242"/>
      <c r="M368" s="232"/>
    </row>
    <row r="369" spans="1:13" ht="15.75" customHeight="1" x14ac:dyDescent="0.2">
      <c r="A369" s="256" t="s">
        <v>22</v>
      </c>
      <c r="B369" s="257" t="str">
        <f>VLOOKUP(2,'４×＋Ｗ'!C4:K4,4)</f>
        <v>粟野</v>
      </c>
      <c r="C369" s="258" t="str">
        <f>VLOOKUP(2,'４×＋Ｗ'!C4:K4,5)</f>
        <v>来波</v>
      </c>
      <c r="D369" s="257">
        <f>VLOOKUP(2,'４×＋Ｗ'!C4:K4,6)</f>
        <v>2</v>
      </c>
      <c r="E369" s="242"/>
      <c r="F369" s="232"/>
      <c r="H369" s="256" t="s">
        <v>22</v>
      </c>
      <c r="I369" s="257" t="str">
        <f>VLOOKUP(9,'４×＋Ｗ'!C11:K11,4)</f>
        <v>市川</v>
      </c>
      <c r="J369" s="258" t="str">
        <f>VLOOKUP(9,'４×＋Ｗ'!C11:K11,5)</f>
        <v>ゆあ</v>
      </c>
      <c r="K369" s="257">
        <f>VLOOKUP(9,'４×＋Ｗ'!C11:K11,6)</f>
        <v>2</v>
      </c>
      <c r="L369" s="242"/>
      <c r="M369" s="232"/>
    </row>
    <row r="370" spans="1:13" ht="15.75" customHeight="1" x14ac:dyDescent="0.2">
      <c r="A370" s="256">
        <v>3</v>
      </c>
      <c r="B370" s="257" t="str">
        <f>VLOOKUP(3,'４×＋Ｗ'!C5:K5,4)</f>
        <v>加藤</v>
      </c>
      <c r="C370" s="258" t="str">
        <f>VLOOKUP(3,'４×＋Ｗ'!C5:K5,5)</f>
        <v>旭葉</v>
      </c>
      <c r="D370" s="257">
        <f>VLOOKUP(3,'４×＋Ｗ'!C5:K5,6)</f>
        <v>3</v>
      </c>
      <c r="E370" s="242"/>
      <c r="F370" s="232"/>
      <c r="H370" s="256">
        <v>3</v>
      </c>
      <c r="I370" s="257" t="str">
        <f>VLOOKUP(10,'４×＋Ｗ'!C12:K12,4)</f>
        <v>西村</v>
      </c>
      <c r="J370" s="258" t="str">
        <f>VLOOKUP(10,'４×＋Ｗ'!C12:K12,5)</f>
        <v>京花</v>
      </c>
      <c r="K370" s="257">
        <f>VLOOKUP(10,'４×＋Ｗ'!C12:K12,6)</f>
        <v>3</v>
      </c>
      <c r="L370" s="242"/>
      <c r="M370" s="232"/>
    </row>
    <row r="371" spans="1:13" ht="15.75" customHeight="1" x14ac:dyDescent="0.2">
      <c r="A371" s="256">
        <v>2</v>
      </c>
      <c r="B371" s="257" t="str">
        <f>VLOOKUP(4,'４×＋Ｗ'!C6:K6,4)</f>
        <v>荒井</v>
      </c>
      <c r="C371" s="258" t="str">
        <f>VLOOKUP(4,'４×＋Ｗ'!C6:K6,5)</f>
        <v>つぐみ</v>
      </c>
      <c r="D371" s="257">
        <f>VLOOKUP(4,'４×＋Ｗ'!C6:K6,6)</f>
        <v>2</v>
      </c>
      <c r="E371" s="242"/>
      <c r="F371" s="232"/>
      <c r="H371" s="256">
        <v>2</v>
      </c>
      <c r="I371" s="257" t="str">
        <f>VLOOKUP(11,'４×＋Ｗ'!C13:K13,4)</f>
        <v>原田</v>
      </c>
      <c r="J371" s="258" t="str">
        <f>VLOOKUP(11,'４×＋Ｗ'!C13:K13,5)</f>
        <v>亜美</v>
      </c>
      <c r="K371" s="257">
        <f>VLOOKUP(11,'４×＋Ｗ'!C13:K13,6)</f>
        <v>3</v>
      </c>
      <c r="L371" s="242"/>
      <c r="M371" s="232"/>
    </row>
    <row r="372" spans="1:13" ht="15.75" customHeight="1" x14ac:dyDescent="0.2">
      <c r="A372" s="256" t="s">
        <v>27</v>
      </c>
      <c r="B372" s="257" t="str">
        <f>VLOOKUP(5,'４×＋Ｗ'!C7:K7,4)</f>
        <v>粟野</v>
      </c>
      <c r="C372" s="258" t="str">
        <f>VLOOKUP(5,'４×＋Ｗ'!C7:K7,5)</f>
        <v>未波</v>
      </c>
      <c r="D372" s="257">
        <f>VLOOKUP(5,'４×＋Ｗ'!C7:K7,6)</f>
        <v>2</v>
      </c>
      <c r="E372" s="242"/>
      <c r="F372" s="232"/>
      <c r="H372" s="256" t="s">
        <v>27</v>
      </c>
      <c r="I372" s="260" t="str">
        <f>VLOOKUP(12,'４×＋Ｗ'!C14:K14,4)</f>
        <v>倉田</v>
      </c>
      <c r="J372" s="258" t="str">
        <f>VLOOKUP(12,'４×＋Ｗ'!C14:K14,5)</f>
        <v>光希</v>
      </c>
      <c r="K372" s="257">
        <f>VLOOKUP(12,'４×＋Ｗ'!C14:K14,6)</f>
        <v>3</v>
      </c>
      <c r="L372" s="242"/>
      <c r="M372" s="232"/>
    </row>
    <row r="373" spans="1:13" ht="15.75" customHeight="1" x14ac:dyDescent="0.2">
      <c r="A373" s="256" t="s">
        <v>28</v>
      </c>
      <c r="B373" s="257" t="str">
        <f>VLOOKUP(6,'４×＋Ｗ'!C8:K8,4)</f>
        <v>小野</v>
      </c>
      <c r="C373" s="258" t="str">
        <f>VLOOKUP(6,'４×＋Ｗ'!C8:K8,5)</f>
        <v>志穂子</v>
      </c>
      <c r="D373" s="257">
        <f>VLOOKUP(6,'４×＋Ｗ'!C8:K8,6)</f>
        <v>3</v>
      </c>
      <c r="E373" s="242"/>
      <c r="F373" s="232"/>
      <c r="H373" s="256" t="s">
        <v>28</v>
      </c>
      <c r="I373" s="260" t="str">
        <f>VLOOKUP(13,'４×＋Ｗ'!C15:K15,4)</f>
        <v>濱田</v>
      </c>
      <c r="J373" s="258" t="str">
        <f>VLOOKUP(13,'４×＋Ｗ'!C15:K15,5)</f>
        <v>紫希</v>
      </c>
      <c r="K373" s="257">
        <f>VLOOKUP(13,'４×＋Ｗ'!C15:K15,6)</f>
        <v>3</v>
      </c>
      <c r="L373" s="242"/>
      <c r="M373" s="232"/>
    </row>
    <row r="374" spans="1:13" ht="15.75" customHeight="1" thickBot="1" x14ac:dyDescent="0.25">
      <c r="A374" s="248" t="s">
        <v>372</v>
      </c>
      <c r="B374" s="240">
        <f>VLOOKUP(7,'４×＋Ｗ'!C9:K9,4)</f>
        <v>0</v>
      </c>
      <c r="C374" s="241">
        <f>VLOOKUP(7,'４×＋Ｗ'!C9:K9,5)</f>
        <v>0</v>
      </c>
      <c r="D374" s="240">
        <f>VLOOKUP(7,'４×＋Ｗ'!C9:K9,6)</f>
        <v>0</v>
      </c>
      <c r="E374" s="242"/>
      <c r="F374" s="232"/>
      <c r="H374" s="248" t="s">
        <v>28</v>
      </c>
      <c r="I374" s="261">
        <f>VLOOKUP(14,'４×＋Ｗ'!C16:K16,4)</f>
        <v>0</v>
      </c>
      <c r="J374" s="241">
        <f>VLOOKUP(14,'４×＋Ｗ'!C16:K16,5)</f>
        <v>0</v>
      </c>
      <c r="K374" s="259">
        <f>VLOOKUP(14,'４×＋Ｗ'!C16:K16,6)</f>
        <v>0</v>
      </c>
      <c r="L374" s="242"/>
      <c r="M374" s="232"/>
    </row>
    <row r="375" spans="1:13" ht="15.75" customHeight="1" thickBot="1" x14ac:dyDescent="0.25"/>
    <row r="376" spans="1:13" ht="15.75" customHeight="1" thickBot="1" x14ac:dyDescent="0.25">
      <c r="A376" s="245" t="s">
        <v>23</v>
      </c>
      <c r="B376" s="606" t="str">
        <f>VLOOKUP(15,'４×＋Ｗ'!C17:K17,2)</f>
        <v>沼津東高校A</v>
      </c>
      <c r="C376" s="606"/>
      <c r="D376" s="246" t="s">
        <v>19</v>
      </c>
      <c r="E376" s="607" t="str">
        <f>VLOOKUP(15,'４×＋Ｗ'!C17:K17,9)</f>
        <v>萩原康治</v>
      </c>
      <c r="F376" s="608"/>
      <c r="H376" s="245" t="s">
        <v>23</v>
      </c>
      <c r="I376" s="606" t="str">
        <f>VLOOKUP(22,'４×＋Ｗ'!C24:K24,2)</f>
        <v>沼津東高校B</v>
      </c>
      <c r="J376" s="606"/>
      <c r="K376" s="246" t="s">
        <v>19</v>
      </c>
      <c r="L376" s="606" t="str">
        <f>VLOOKUP(22,'４×＋Ｗ'!C24:K24,9)</f>
        <v>杉本由佳子</v>
      </c>
      <c r="M376" s="609"/>
    </row>
    <row r="377" spans="1:13" ht="15.75" customHeight="1" x14ac:dyDescent="0.2">
      <c r="A377" s="249" t="s">
        <v>20</v>
      </c>
      <c r="B377" s="250" t="s">
        <v>24</v>
      </c>
      <c r="C377" s="251" t="s">
        <v>25</v>
      </c>
      <c r="D377" s="250" t="s">
        <v>21</v>
      </c>
      <c r="E377" s="238"/>
      <c r="F377" s="239"/>
      <c r="H377" s="249" t="s">
        <v>20</v>
      </c>
      <c r="I377" s="250" t="s">
        <v>24</v>
      </c>
      <c r="J377" s="251" t="s">
        <v>25</v>
      </c>
      <c r="K377" s="250" t="s">
        <v>21</v>
      </c>
      <c r="L377" s="238"/>
      <c r="M377" s="239"/>
    </row>
    <row r="378" spans="1:13" ht="15.75" customHeight="1" x14ac:dyDescent="0.2">
      <c r="A378" s="256" t="s">
        <v>26</v>
      </c>
      <c r="B378" s="257" t="str">
        <f>VLOOKUP(15,'４×＋Ｗ'!C17:K17,4)</f>
        <v>長谷川</v>
      </c>
      <c r="C378" s="258" t="str">
        <f>VLOOKUP(15,'４×＋Ｗ'!C17:K17,5)</f>
        <v>灯</v>
      </c>
      <c r="D378" s="257">
        <f>VLOOKUP(15,'４×＋Ｗ'!C17:K17,6)</f>
        <v>3</v>
      </c>
      <c r="E378" s="242"/>
      <c r="F378" s="232"/>
      <c r="H378" s="256" t="s">
        <v>26</v>
      </c>
      <c r="I378" s="257" t="str">
        <f>VLOOKUP(22,'４×＋Ｗ'!C24:K24,4)</f>
        <v>山田</v>
      </c>
      <c r="J378" s="258" t="str">
        <f>VLOOKUP(22,'４×＋Ｗ'!C24:K24,5)</f>
        <v>沙季</v>
      </c>
      <c r="K378" s="257">
        <f>VLOOKUP(22,'４×＋Ｗ'!C24:K24,6)</f>
        <v>2</v>
      </c>
      <c r="L378" s="242"/>
      <c r="M378" s="232"/>
    </row>
    <row r="379" spans="1:13" ht="15.75" customHeight="1" x14ac:dyDescent="0.2">
      <c r="A379" s="256" t="s">
        <v>22</v>
      </c>
      <c r="B379" s="257" t="str">
        <f>VLOOKUP(16,'４×＋Ｗ'!C18:K18,4)</f>
        <v>金盛</v>
      </c>
      <c r="C379" s="258" t="str">
        <f>VLOOKUP(16,'４×＋Ｗ'!C18:K18,5)</f>
        <v>悠宇和</v>
      </c>
      <c r="D379" s="257">
        <f>VLOOKUP(16,'４×＋Ｗ'!C18:K18,6)</f>
        <v>3</v>
      </c>
      <c r="E379" s="242"/>
      <c r="F379" s="232"/>
      <c r="H379" s="256" t="s">
        <v>22</v>
      </c>
      <c r="I379" s="257" t="str">
        <f>VLOOKUP(23,'４×＋Ｗ'!C25:K25,4)</f>
        <v>髙根</v>
      </c>
      <c r="J379" s="258" t="str">
        <f>VLOOKUP(23,'４×＋Ｗ'!C25:K25,5)</f>
        <v>眞実</v>
      </c>
      <c r="K379" s="257">
        <f>VLOOKUP(23,'４×＋Ｗ'!C25:K25,6)</f>
        <v>2</v>
      </c>
      <c r="L379" s="242"/>
      <c r="M379" s="232"/>
    </row>
    <row r="380" spans="1:13" ht="15.75" customHeight="1" x14ac:dyDescent="0.2">
      <c r="A380" s="256">
        <v>3</v>
      </c>
      <c r="B380" s="257" t="str">
        <f>VLOOKUP(17,'４×＋Ｗ'!C19:K19,4)</f>
        <v>村上</v>
      </c>
      <c r="C380" s="258" t="str">
        <f>VLOOKUP(17,'４×＋Ｗ'!C19:K19,5)</f>
        <v>晴香</v>
      </c>
      <c r="D380" s="257">
        <f>VLOOKUP(17,'４×＋Ｗ'!C19:K19,6)</f>
        <v>3</v>
      </c>
      <c r="E380" s="242"/>
      <c r="F380" s="232"/>
      <c r="H380" s="256">
        <v>3</v>
      </c>
      <c r="I380" s="257" t="str">
        <f>VLOOKUP(24,'４×＋Ｗ'!C26:K26,4)</f>
        <v>新井</v>
      </c>
      <c r="J380" s="258" t="str">
        <f>VLOOKUP(24,'４×＋Ｗ'!C26:K26,5)</f>
        <v>妃美季</v>
      </c>
      <c r="K380" s="257">
        <f>VLOOKUP(24,'４×＋Ｗ'!C26:K26,6)</f>
        <v>2</v>
      </c>
      <c r="L380" s="242"/>
      <c r="M380" s="232"/>
    </row>
    <row r="381" spans="1:13" ht="15.75" customHeight="1" x14ac:dyDescent="0.2">
      <c r="A381" s="256">
        <v>2</v>
      </c>
      <c r="B381" s="257" t="str">
        <f>VLOOKUP(18,'４×＋Ｗ'!C20:K20,4)</f>
        <v>根本</v>
      </c>
      <c r="C381" s="258" t="str">
        <f>VLOOKUP(18,'４×＋Ｗ'!C20:K20,5)</f>
        <v>祐美</v>
      </c>
      <c r="D381" s="257">
        <f>VLOOKUP(18,'４×＋Ｗ'!C20:K20,6)</f>
        <v>3</v>
      </c>
      <c r="E381" s="242"/>
      <c r="F381" s="232"/>
      <c r="H381" s="256">
        <v>2</v>
      </c>
      <c r="I381" s="257" t="str">
        <f>VLOOKUP(25,'４×＋Ｗ'!C27:K27,4)</f>
        <v>髙木</v>
      </c>
      <c r="J381" s="258" t="str">
        <f>VLOOKUP(25,'４×＋Ｗ'!C27:K27,5)</f>
        <v>心結</v>
      </c>
      <c r="K381" s="257">
        <f>VLOOKUP(25,'４×＋Ｗ'!C27:K27,6)</f>
        <v>2</v>
      </c>
      <c r="L381" s="242"/>
      <c r="M381" s="232"/>
    </row>
    <row r="382" spans="1:13" ht="15.75" customHeight="1" x14ac:dyDescent="0.2">
      <c r="A382" s="256" t="s">
        <v>27</v>
      </c>
      <c r="B382" s="257" t="str">
        <f>VLOOKUP(19,'４×＋Ｗ'!C21:K21,4)</f>
        <v>河崎</v>
      </c>
      <c r="C382" s="258" t="str">
        <f>VLOOKUP(19,'４×＋Ｗ'!C21:K21,5)</f>
        <v>楓乃</v>
      </c>
      <c r="D382" s="257">
        <f>VLOOKUP(19,'４×＋Ｗ'!C21:K21,6)</f>
        <v>3</v>
      </c>
      <c r="E382" s="242"/>
      <c r="F382" s="232"/>
      <c r="H382" s="256" t="s">
        <v>27</v>
      </c>
      <c r="I382" s="260" t="str">
        <f>VLOOKUP(26,'４×＋Ｗ'!C28:K28,4)</f>
        <v>祝部</v>
      </c>
      <c r="J382" s="258" t="str">
        <f>VLOOKUP(26,'４×＋Ｗ'!C28:K28,5)</f>
        <v>真由</v>
      </c>
      <c r="K382" s="257">
        <f>VLOOKUP(26,'４×＋Ｗ'!C28:K28,6)</f>
        <v>2</v>
      </c>
      <c r="L382" s="242"/>
      <c r="M382" s="232"/>
    </row>
    <row r="383" spans="1:13" ht="15.75" customHeight="1" x14ac:dyDescent="0.2">
      <c r="A383" s="256" t="s">
        <v>28</v>
      </c>
      <c r="B383" s="257" t="str">
        <f>VLOOKUP(20,'４×＋Ｗ'!C22:K22,4)</f>
        <v>藤井</v>
      </c>
      <c r="C383" s="258" t="str">
        <f>VLOOKUP(20,'４×＋Ｗ'!C22:K22,5)</f>
        <v>凜</v>
      </c>
      <c r="D383" s="257">
        <f>VLOOKUP(20,'４×＋Ｗ'!C22:K22,6)</f>
        <v>3</v>
      </c>
      <c r="E383" s="242"/>
      <c r="F383" s="232"/>
      <c r="H383" s="256" t="s">
        <v>28</v>
      </c>
      <c r="I383" s="260" t="str">
        <f>VLOOKUP(27,'４×＋Ｗ'!C29:K29,4)</f>
        <v>山本</v>
      </c>
      <c r="J383" s="258" t="str">
        <f>VLOOKUP(27,'４×＋Ｗ'!C29:K29,5)</f>
        <v>美羽</v>
      </c>
      <c r="K383" s="257">
        <f>VLOOKUP(27,'４×＋Ｗ'!C29:K29,6)</f>
        <v>3</v>
      </c>
      <c r="L383" s="242"/>
      <c r="M383" s="232"/>
    </row>
    <row r="384" spans="1:13" ht="15.75" customHeight="1" thickBot="1" x14ac:dyDescent="0.25">
      <c r="A384" s="248" t="s">
        <v>28</v>
      </c>
      <c r="B384" s="240" t="str">
        <f>VLOOKUP(21,'４×＋Ｗ'!C23:K23,4)</f>
        <v>長倉</v>
      </c>
      <c r="C384" s="241" t="str">
        <f>VLOOKUP(21,'４×＋Ｗ'!C23:K23,5)</f>
        <v>理子</v>
      </c>
      <c r="D384" s="240">
        <f>VLOOKUP(21,'４×＋Ｗ'!C23:K23,6)</f>
        <v>3</v>
      </c>
      <c r="E384" s="242"/>
      <c r="F384" s="232"/>
      <c r="H384" s="248" t="s">
        <v>28</v>
      </c>
      <c r="I384" s="240" t="str">
        <f>VLOOKUP(28,'４×＋Ｗ'!C30:K30,4)</f>
        <v>飯田</v>
      </c>
      <c r="J384" s="241" t="str">
        <f>VLOOKUP(28,'４×＋Ｗ'!C30:K30,5)</f>
        <v>有珂</v>
      </c>
      <c r="K384" s="259">
        <f>VLOOKUP(28,'４×＋Ｗ'!C30:K30,6)</f>
        <v>2</v>
      </c>
      <c r="L384" s="242"/>
      <c r="M384" s="232"/>
    </row>
    <row r="385" spans="1:13" ht="15.75" hidden="1" customHeight="1" thickBot="1" x14ac:dyDescent="0.25"/>
    <row r="386" spans="1:13" ht="15.75" hidden="1" customHeight="1" thickBot="1" x14ac:dyDescent="0.25">
      <c r="A386" s="245" t="s">
        <v>23</v>
      </c>
      <c r="B386" s="606">
        <f>VLOOKUP(29,'４×＋Ｗ'!C31:K31,2)</f>
        <v>0</v>
      </c>
      <c r="C386" s="606"/>
      <c r="D386" s="246" t="s">
        <v>19</v>
      </c>
      <c r="E386" s="607">
        <f>VLOOKUP(29,'４×＋Ｗ'!C31:K31,9)</f>
        <v>0</v>
      </c>
      <c r="F386" s="608"/>
      <c r="H386" s="245" t="s">
        <v>23</v>
      </c>
      <c r="I386" s="606">
        <f>VLOOKUP(36,'４×＋Ｗ'!C38:K38,2)</f>
        <v>0</v>
      </c>
      <c r="J386" s="606"/>
      <c r="K386" s="246" t="s">
        <v>19</v>
      </c>
      <c r="L386" s="606">
        <f>VLOOKUP(36,'４×＋Ｗ'!C38:K38,9)</f>
        <v>0</v>
      </c>
      <c r="M386" s="609"/>
    </row>
    <row r="387" spans="1:13" ht="15.75" hidden="1" customHeight="1" x14ac:dyDescent="0.2">
      <c r="A387" s="249" t="s">
        <v>20</v>
      </c>
      <c r="B387" s="250" t="s">
        <v>24</v>
      </c>
      <c r="C387" s="251" t="s">
        <v>25</v>
      </c>
      <c r="D387" s="250" t="s">
        <v>21</v>
      </c>
      <c r="E387" s="238"/>
      <c r="F387" s="239"/>
      <c r="H387" s="249" t="s">
        <v>20</v>
      </c>
      <c r="I387" s="250" t="s">
        <v>24</v>
      </c>
      <c r="J387" s="251" t="s">
        <v>25</v>
      </c>
      <c r="K387" s="250" t="s">
        <v>21</v>
      </c>
      <c r="L387" s="238"/>
      <c r="M387" s="239"/>
    </row>
    <row r="388" spans="1:13" ht="15.75" hidden="1" customHeight="1" x14ac:dyDescent="0.2">
      <c r="A388" s="256" t="s">
        <v>26</v>
      </c>
      <c r="B388" s="257">
        <f>VLOOKUP(29,'４×＋Ｗ'!C31:K31,4)</f>
        <v>0</v>
      </c>
      <c r="C388" s="258">
        <f>VLOOKUP(29,'４×＋Ｗ'!C31:K31,5)</f>
        <v>0</v>
      </c>
      <c r="D388" s="257">
        <f>VLOOKUP(29,'４×＋Ｗ'!C31:K31,6)</f>
        <v>0</v>
      </c>
      <c r="E388" s="242"/>
      <c r="F388" s="232"/>
      <c r="H388" s="256" t="s">
        <v>26</v>
      </c>
      <c r="I388" s="257">
        <f>VLOOKUP(36,'４×＋Ｗ'!C38:K38,4)</f>
        <v>0</v>
      </c>
      <c r="J388" s="258">
        <f>VLOOKUP(36,'４×＋Ｗ'!C38:K38,5)</f>
        <v>0</v>
      </c>
      <c r="K388" s="257">
        <f>VLOOKUP(36,'４×＋Ｗ'!C38:K38,6)</f>
        <v>0</v>
      </c>
      <c r="L388" s="242"/>
      <c r="M388" s="232"/>
    </row>
    <row r="389" spans="1:13" ht="15.75" hidden="1" customHeight="1" x14ac:dyDescent="0.2">
      <c r="A389" s="256" t="s">
        <v>22</v>
      </c>
      <c r="B389" s="257">
        <f>VLOOKUP(30,'４×＋Ｗ'!C32:K32,4)</f>
        <v>0</v>
      </c>
      <c r="C389" s="258">
        <f>VLOOKUP(30,'４×＋Ｗ'!C32:K32,5)</f>
        <v>0</v>
      </c>
      <c r="D389" s="257">
        <f>VLOOKUP(30,'４×＋Ｗ'!C32:K32,6)</f>
        <v>0</v>
      </c>
      <c r="E389" s="242"/>
      <c r="F389" s="232"/>
      <c r="H389" s="256" t="s">
        <v>22</v>
      </c>
      <c r="I389" s="257">
        <f>VLOOKUP(37,'４×＋Ｗ'!C39:K39,4)</f>
        <v>0</v>
      </c>
      <c r="J389" s="258">
        <f>VLOOKUP(37,'４×＋Ｗ'!C39:K39,5)</f>
        <v>0</v>
      </c>
      <c r="K389" s="257">
        <f>VLOOKUP(37,'４×＋Ｗ'!C39:K39,6)</f>
        <v>0</v>
      </c>
      <c r="L389" s="242"/>
      <c r="M389" s="232"/>
    </row>
    <row r="390" spans="1:13" ht="15.75" hidden="1" customHeight="1" x14ac:dyDescent="0.2">
      <c r="A390" s="256">
        <v>3</v>
      </c>
      <c r="B390" s="257">
        <f>VLOOKUP(31,'４×＋Ｗ'!C33:K33,4)</f>
        <v>0</v>
      </c>
      <c r="C390" s="258">
        <f>VLOOKUP(31,'４×＋Ｗ'!C33:K33,5)</f>
        <v>0</v>
      </c>
      <c r="D390" s="257">
        <f>VLOOKUP(31,'４×＋Ｗ'!C33:K33,6)</f>
        <v>0</v>
      </c>
      <c r="E390" s="242"/>
      <c r="F390" s="232"/>
      <c r="H390" s="256">
        <v>3</v>
      </c>
      <c r="I390" s="257">
        <f>VLOOKUP(38,'４×＋Ｗ'!C40:K40,4)</f>
        <v>0</v>
      </c>
      <c r="J390" s="258">
        <f>VLOOKUP(38,'４×＋Ｗ'!C40:K40,5)</f>
        <v>0</v>
      </c>
      <c r="K390" s="257">
        <f>VLOOKUP(38,'４×＋Ｗ'!C40:K40,6)</f>
        <v>0</v>
      </c>
      <c r="L390" s="242"/>
      <c r="M390" s="232"/>
    </row>
    <row r="391" spans="1:13" ht="15.75" hidden="1" customHeight="1" x14ac:dyDescent="0.2">
      <c r="A391" s="256">
        <v>2</v>
      </c>
      <c r="B391" s="257">
        <f>VLOOKUP(32,'４×＋Ｗ'!C34:K34,4)</f>
        <v>0</v>
      </c>
      <c r="C391" s="258">
        <f>VLOOKUP(32,'４×＋Ｗ'!C34:K34,5)</f>
        <v>0</v>
      </c>
      <c r="D391" s="257">
        <f>VLOOKUP(32,'４×＋Ｗ'!C34:K34,6)</f>
        <v>0</v>
      </c>
      <c r="E391" s="242"/>
      <c r="F391" s="232"/>
      <c r="H391" s="256">
        <v>2</v>
      </c>
      <c r="I391" s="257">
        <f>VLOOKUP(39,'４×＋Ｗ'!C41:K41,4)</f>
        <v>0</v>
      </c>
      <c r="J391" s="258">
        <f>VLOOKUP(39,'４×＋Ｗ'!C41:K41,5)</f>
        <v>0</v>
      </c>
      <c r="K391" s="257">
        <f>VLOOKUP(39,'４×＋Ｗ'!C41:K41,6)</f>
        <v>0</v>
      </c>
      <c r="L391" s="242"/>
      <c r="M391" s="232"/>
    </row>
    <row r="392" spans="1:13" ht="15.75" hidden="1" customHeight="1" x14ac:dyDescent="0.2">
      <c r="A392" s="256" t="s">
        <v>27</v>
      </c>
      <c r="B392" s="257">
        <f>VLOOKUP(33,'４×＋Ｗ'!C35:K35,4)</f>
        <v>0</v>
      </c>
      <c r="C392" s="258">
        <f>VLOOKUP(33,'４×＋Ｗ'!C35:K35,5)</f>
        <v>0</v>
      </c>
      <c r="D392" s="257">
        <f>VLOOKUP(33,'４×＋Ｗ'!C35:K35,6)</f>
        <v>0</v>
      </c>
      <c r="E392" s="242"/>
      <c r="F392" s="232"/>
      <c r="H392" s="256" t="s">
        <v>27</v>
      </c>
      <c r="I392" s="260">
        <f>VLOOKUP(40,'４×＋Ｗ'!C42:K42,4)</f>
        <v>0</v>
      </c>
      <c r="J392" s="258">
        <f>VLOOKUP(40,'４×＋Ｗ'!C42:K42,5)</f>
        <v>0</v>
      </c>
      <c r="K392" s="257">
        <f>VLOOKUP(40,'４×＋Ｗ'!C42:K42,6)</f>
        <v>0</v>
      </c>
      <c r="L392" s="242"/>
      <c r="M392" s="232"/>
    </row>
    <row r="393" spans="1:13" ht="15.75" hidden="1" customHeight="1" x14ac:dyDescent="0.2">
      <c r="A393" s="256" t="s">
        <v>28</v>
      </c>
      <c r="B393" s="257">
        <f>VLOOKUP(34,'４×＋Ｗ'!C36:K36,4)</f>
        <v>0</v>
      </c>
      <c r="C393" s="258">
        <f>VLOOKUP(34,'４×＋Ｗ'!C36:K36,5)</f>
        <v>0</v>
      </c>
      <c r="D393" s="257">
        <f>VLOOKUP(34,'４×＋Ｗ'!C36:K36,6)</f>
        <v>0</v>
      </c>
      <c r="E393" s="242"/>
      <c r="F393" s="232"/>
      <c r="H393" s="256" t="s">
        <v>28</v>
      </c>
      <c r="I393" s="260">
        <f>VLOOKUP(41,'４×＋Ｗ'!C43:K43,4)</f>
        <v>0</v>
      </c>
      <c r="J393" s="258">
        <f>VLOOKUP(41,'４×＋Ｗ'!C43:K43,5)</f>
        <v>0</v>
      </c>
      <c r="K393" s="257">
        <f>VLOOKUP(41,'４×＋Ｗ'!C43:K43,6)</f>
        <v>0</v>
      </c>
      <c r="L393" s="242"/>
      <c r="M393" s="232"/>
    </row>
    <row r="394" spans="1:13" ht="15.75" hidden="1" customHeight="1" thickBot="1" x14ac:dyDescent="0.25">
      <c r="A394" s="248" t="s">
        <v>28</v>
      </c>
      <c r="B394" s="240">
        <f>VLOOKUP(35,'４×＋Ｗ'!C37:K37,4)</f>
        <v>0</v>
      </c>
      <c r="C394" s="241">
        <f>VLOOKUP(35,'４×＋Ｗ'!C37:K37,5)</f>
        <v>0</v>
      </c>
      <c r="D394" s="240">
        <f>VLOOKUP(35,'４×＋Ｗ'!C37:K37,6)</f>
        <v>0</v>
      </c>
      <c r="E394" s="242"/>
      <c r="F394" s="232"/>
      <c r="H394" s="248" t="s">
        <v>28</v>
      </c>
      <c r="I394" s="261">
        <f>VLOOKUP(42,'４×＋Ｗ'!C44:K44,4)</f>
        <v>0</v>
      </c>
      <c r="J394" s="241">
        <f>VLOOKUP(42,'４×＋Ｗ'!C44:K44,5)</f>
        <v>0</v>
      </c>
      <c r="K394" s="240">
        <f>VLOOKUP(42,'４×＋Ｗ'!C44:K44,6)</f>
        <v>0</v>
      </c>
      <c r="L394" s="242"/>
      <c r="M394" s="232"/>
    </row>
    <row r="395" spans="1:13" ht="15.75" hidden="1" customHeight="1" thickBot="1" x14ac:dyDescent="0.25">
      <c r="A395" s="245" t="s">
        <v>23</v>
      </c>
      <c r="B395" s="606">
        <f>VLOOKUP(29,'４×＋Ｗ'!C31:K31,2)</f>
        <v>0</v>
      </c>
      <c r="C395" s="606"/>
      <c r="D395" s="246" t="s">
        <v>19</v>
      </c>
      <c r="E395" s="607">
        <f>VLOOKUP(29,'４×＋Ｗ'!C31:K31,9)</f>
        <v>0</v>
      </c>
      <c r="F395" s="608"/>
      <c r="H395" s="245" t="s">
        <v>23</v>
      </c>
      <c r="I395" s="606">
        <f>VLOOKUP(36,'４×＋Ｗ'!C38:K38,2)</f>
        <v>0</v>
      </c>
      <c r="J395" s="606"/>
      <c r="K395" s="246" t="s">
        <v>19</v>
      </c>
      <c r="L395" s="606">
        <f>VLOOKUP(36,'４×＋Ｗ'!C38:K38,9)</f>
        <v>0</v>
      </c>
      <c r="M395" s="609"/>
    </row>
    <row r="396" spans="1:13" ht="15.75" hidden="1" customHeight="1" x14ac:dyDescent="0.2">
      <c r="A396" s="249" t="s">
        <v>20</v>
      </c>
      <c r="B396" s="250" t="s">
        <v>24</v>
      </c>
      <c r="C396" s="251" t="s">
        <v>25</v>
      </c>
      <c r="D396" s="250" t="s">
        <v>21</v>
      </c>
      <c r="E396" s="238"/>
      <c r="F396" s="239"/>
      <c r="H396" s="249" t="s">
        <v>20</v>
      </c>
      <c r="I396" s="250" t="s">
        <v>24</v>
      </c>
      <c r="J396" s="251" t="s">
        <v>25</v>
      </c>
      <c r="K396" s="250" t="s">
        <v>21</v>
      </c>
      <c r="L396" s="238"/>
      <c r="M396" s="239"/>
    </row>
    <row r="397" spans="1:13" ht="15.75" hidden="1" customHeight="1" x14ac:dyDescent="0.2">
      <c r="A397" s="256" t="s">
        <v>26</v>
      </c>
      <c r="B397" s="257">
        <f>VLOOKUP(29,'４×＋Ｗ'!C31:K31,4)</f>
        <v>0</v>
      </c>
      <c r="C397" s="258">
        <f>VLOOKUP(29,'４×＋Ｗ'!C31:K31,5)</f>
        <v>0</v>
      </c>
      <c r="D397" s="257">
        <f>VLOOKUP(29,'４×＋Ｗ'!C31:K31,6)</f>
        <v>0</v>
      </c>
      <c r="E397" s="242"/>
      <c r="F397" s="232"/>
      <c r="H397" s="256" t="s">
        <v>26</v>
      </c>
      <c r="I397" s="257">
        <f>VLOOKUP(36,'４×＋Ｗ'!C38:K38,4)</f>
        <v>0</v>
      </c>
      <c r="J397" s="258">
        <f>VLOOKUP(36,'４×＋Ｗ'!C38:K38,5)</f>
        <v>0</v>
      </c>
      <c r="K397" s="257">
        <f>VLOOKUP(36,'４×＋Ｗ'!C38:K38,6)</f>
        <v>0</v>
      </c>
      <c r="L397" s="242"/>
      <c r="M397" s="232"/>
    </row>
    <row r="398" spans="1:13" ht="15.75" hidden="1" customHeight="1" x14ac:dyDescent="0.2">
      <c r="A398" s="256" t="s">
        <v>22</v>
      </c>
      <c r="B398" s="257">
        <f>VLOOKUP(30,'４×＋Ｗ'!C32:K32,4)</f>
        <v>0</v>
      </c>
      <c r="C398" s="258">
        <f>VLOOKUP(30,'４×＋Ｗ'!C32:K32,5)</f>
        <v>0</v>
      </c>
      <c r="D398" s="257">
        <f>VLOOKUP(30,'４×＋Ｗ'!C32:K32,6)</f>
        <v>0</v>
      </c>
      <c r="E398" s="242"/>
      <c r="F398" s="232"/>
      <c r="H398" s="256" t="s">
        <v>22</v>
      </c>
      <c r="I398" s="257">
        <f>VLOOKUP(37,'４×＋Ｗ'!C39:K39,4)</f>
        <v>0</v>
      </c>
      <c r="J398" s="258">
        <f>VLOOKUP(37,'４×＋Ｗ'!C39:K39,5)</f>
        <v>0</v>
      </c>
      <c r="K398" s="257">
        <f>VLOOKUP(37,'４×＋Ｗ'!C39:K39,6)</f>
        <v>0</v>
      </c>
      <c r="L398" s="242"/>
      <c r="M398" s="232"/>
    </row>
    <row r="399" spans="1:13" ht="15.75" hidden="1" customHeight="1" x14ac:dyDescent="0.2">
      <c r="A399" s="256">
        <v>3</v>
      </c>
      <c r="B399" s="257">
        <f>VLOOKUP(31,'４×＋Ｗ'!C33:K33,4)</f>
        <v>0</v>
      </c>
      <c r="C399" s="258">
        <f>VLOOKUP(31,'４×＋Ｗ'!C33:K33,5)</f>
        <v>0</v>
      </c>
      <c r="D399" s="257">
        <f>VLOOKUP(31,'４×＋Ｗ'!C33:K33,6)</f>
        <v>0</v>
      </c>
      <c r="E399" s="242"/>
      <c r="F399" s="232"/>
      <c r="H399" s="256">
        <v>3</v>
      </c>
      <c r="I399" s="257">
        <f>VLOOKUP(38,'４×＋Ｗ'!C40:K40,4)</f>
        <v>0</v>
      </c>
      <c r="J399" s="258">
        <f>VLOOKUP(38,'４×＋Ｗ'!C40:K40,5)</f>
        <v>0</v>
      </c>
      <c r="K399" s="257">
        <f>VLOOKUP(38,'４×＋Ｗ'!C40:K40,6)</f>
        <v>0</v>
      </c>
      <c r="L399" s="242"/>
      <c r="M399" s="232"/>
    </row>
    <row r="400" spans="1:13" ht="15.75" hidden="1" customHeight="1" x14ac:dyDescent="0.2">
      <c r="A400" s="256">
        <v>2</v>
      </c>
      <c r="B400" s="257">
        <f>VLOOKUP(32,'４×＋Ｗ'!C34:K34,4)</f>
        <v>0</v>
      </c>
      <c r="C400" s="258">
        <f>VLOOKUP(32,'４×＋Ｗ'!C34:K34,5)</f>
        <v>0</v>
      </c>
      <c r="D400" s="257">
        <f>VLOOKUP(32,'４×＋Ｗ'!C34:K34,6)</f>
        <v>0</v>
      </c>
      <c r="E400" s="242"/>
      <c r="F400" s="232"/>
      <c r="H400" s="256">
        <v>2</v>
      </c>
      <c r="I400" s="257">
        <f>VLOOKUP(39,'４×＋Ｗ'!C41:K41,4)</f>
        <v>0</v>
      </c>
      <c r="J400" s="258">
        <f>VLOOKUP(39,'４×＋Ｗ'!C41:K41,5)</f>
        <v>0</v>
      </c>
      <c r="K400" s="257">
        <f>VLOOKUP(39,'４×＋Ｗ'!C41:K41,6)</f>
        <v>0</v>
      </c>
      <c r="L400" s="242"/>
      <c r="M400" s="232"/>
    </row>
    <row r="401" spans="1:13" ht="15.75" hidden="1" customHeight="1" x14ac:dyDescent="0.2">
      <c r="A401" s="256" t="s">
        <v>27</v>
      </c>
      <c r="B401" s="257">
        <f>VLOOKUP(33,'４×＋Ｗ'!C35:K35,4)</f>
        <v>0</v>
      </c>
      <c r="C401" s="258">
        <f>VLOOKUP(33,'４×＋Ｗ'!C35:K35,5)</f>
        <v>0</v>
      </c>
      <c r="D401" s="257">
        <f>VLOOKUP(33,'４×＋Ｗ'!C35:K35,6)</f>
        <v>0</v>
      </c>
      <c r="E401" s="242"/>
      <c r="F401" s="232"/>
      <c r="H401" s="256" t="s">
        <v>27</v>
      </c>
      <c r="I401" s="260">
        <f>VLOOKUP(40,'４×＋Ｗ'!C42:K42,4)</f>
        <v>0</v>
      </c>
      <c r="J401" s="258">
        <f>VLOOKUP(40,'４×＋Ｗ'!C42:K42,5)</f>
        <v>0</v>
      </c>
      <c r="K401" s="257">
        <f>VLOOKUP(40,'４×＋Ｗ'!C42:K42,6)</f>
        <v>0</v>
      </c>
      <c r="L401" s="242"/>
      <c r="M401" s="232"/>
    </row>
    <row r="402" spans="1:13" ht="15.75" hidden="1" customHeight="1" x14ac:dyDescent="0.2">
      <c r="A402" s="256" t="s">
        <v>28</v>
      </c>
      <c r="B402" s="257">
        <f>VLOOKUP(34,'４×＋Ｗ'!C36:K36,4)</f>
        <v>0</v>
      </c>
      <c r="C402" s="258">
        <f>VLOOKUP(34,'４×＋Ｗ'!C36:K36,5)</f>
        <v>0</v>
      </c>
      <c r="D402" s="257">
        <f>VLOOKUP(34,'４×＋Ｗ'!C36:K36,6)</f>
        <v>0</v>
      </c>
      <c r="E402" s="242"/>
      <c r="F402" s="232"/>
      <c r="H402" s="256" t="s">
        <v>28</v>
      </c>
      <c r="I402" s="260">
        <f>VLOOKUP(41,'４×＋Ｗ'!C43:K43,4)</f>
        <v>0</v>
      </c>
      <c r="J402" s="258">
        <f>VLOOKUP(41,'４×＋Ｗ'!C43:K43,5)</f>
        <v>0</v>
      </c>
      <c r="K402" s="257">
        <f>VLOOKUP(41,'４×＋Ｗ'!C43:K43,6)</f>
        <v>0</v>
      </c>
      <c r="L402" s="242"/>
      <c r="M402" s="232"/>
    </row>
    <row r="403" spans="1:13" ht="15.75" hidden="1" customHeight="1" thickBot="1" x14ac:dyDescent="0.25">
      <c r="A403" s="248" t="s">
        <v>28</v>
      </c>
      <c r="B403" s="240">
        <f>VLOOKUP(35,'４×＋Ｗ'!C37:K37,4)</f>
        <v>0</v>
      </c>
      <c r="C403" s="241">
        <f>VLOOKUP(35,'４×＋Ｗ'!C37:K37,5)</f>
        <v>0</v>
      </c>
      <c r="D403" s="240">
        <f>VLOOKUP(35,'４×＋Ｗ'!C37:K37,6)</f>
        <v>0</v>
      </c>
      <c r="E403" s="242"/>
      <c r="F403" s="232"/>
      <c r="H403" s="248" t="s">
        <v>28</v>
      </c>
      <c r="I403" s="240">
        <f>VLOOKUP(42,'４×＋Ｗ'!C44:K44,4)</f>
        <v>0</v>
      </c>
      <c r="J403" s="241">
        <f>VLOOKUP(42,'４×＋Ｗ'!C44:K44,5)</f>
        <v>0</v>
      </c>
      <c r="K403" s="259">
        <f>VLOOKUP(42,'４×＋Ｗ'!C44:K44,6)</f>
        <v>0</v>
      </c>
      <c r="L403" s="242"/>
      <c r="M403" s="232"/>
    </row>
    <row r="404" spans="1:13" ht="15.75" hidden="1" customHeight="1" thickBot="1" x14ac:dyDescent="0.25"/>
    <row r="405" spans="1:13" ht="15.75" hidden="1" customHeight="1" thickBot="1" x14ac:dyDescent="0.25">
      <c r="A405" s="245" t="s">
        <v>23</v>
      </c>
      <c r="B405" s="606">
        <f>VLOOKUP(43,'４×＋Ｗ'!C45:K45,2)</f>
        <v>0</v>
      </c>
      <c r="C405" s="606"/>
      <c r="D405" s="246" t="s">
        <v>19</v>
      </c>
      <c r="E405" s="607">
        <f>VLOOKUP(43,'４×＋Ｗ'!C45:K45,9)</f>
        <v>0</v>
      </c>
      <c r="F405" s="608"/>
    </row>
    <row r="406" spans="1:13" ht="15.75" hidden="1" customHeight="1" x14ac:dyDescent="0.2">
      <c r="A406" s="249" t="s">
        <v>20</v>
      </c>
      <c r="B406" s="250" t="s">
        <v>24</v>
      </c>
      <c r="C406" s="251" t="s">
        <v>25</v>
      </c>
      <c r="D406" s="250" t="s">
        <v>21</v>
      </c>
      <c r="E406" s="238"/>
      <c r="F406" s="239"/>
    </row>
    <row r="407" spans="1:13" ht="15.75" hidden="1" customHeight="1" x14ac:dyDescent="0.2">
      <c r="A407" s="256" t="s">
        <v>26</v>
      </c>
      <c r="B407" s="257">
        <f>VLOOKUP(43,'４×＋Ｗ'!C45:K45,4)</f>
        <v>0</v>
      </c>
      <c r="C407" s="258">
        <f>VLOOKUP(43,'４×＋Ｗ'!C45:K45,5)</f>
        <v>0</v>
      </c>
      <c r="D407" s="257">
        <f>VLOOKUP(43,'４×＋Ｗ'!C45:K45,6)</f>
        <v>0</v>
      </c>
      <c r="E407" s="242"/>
      <c r="F407" s="232"/>
    </row>
    <row r="408" spans="1:13" ht="15.75" hidden="1" customHeight="1" x14ac:dyDescent="0.2">
      <c r="A408" s="256" t="s">
        <v>22</v>
      </c>
      <c r="B408" s="257">
        <f>VLOOKUP(44,'４×＋Ｗ'!C46:K46,4)</f>
        <v>0</v>
      </c>
      <c r="C408" s="258">
        <f>VLOOKUP(44,'４×＋Ｗ'!C46:K46,5)</f>
        <v>0</v>
      </c>
      <c r="D408" s="257">
        <f>VLOOKUP(44,'４×＋Ｗ'!C46:K46,6)</f>
        <v>0</v>
      </c>
      <c r="E408" s="242"/>
      <c r="F408" s="232"/>
    </row>
    <row r="409" spans="1:13" ht="15.75" hidden="1" customHeight="1" x14ac:dyDescent="0.2">
      <c r="A409" s="256">
        <v>3</v>
      </c>
      <c r="B409" s="257">
        <f>VLOOKUP(45,'４×＋Ｗ'!C47:K47,4)</f>
        <v>0</v>
      </c>
      <c r="C409" s="258">
        <f>VLOOKUP(45,'４×＋Ｗ'!C47:K47,5)</f>
        <v>0</v>
      </c>
      <c r="D409" s="257">
        <f>VLOOKUP(45,'４×＋Ｗ'!C47:K47,6)</f>
        <v>0</v>
      </c>
      <c r="E409" s="242"/>
      <c r="F409" s="232"/>
    </row>
    <row r="410" spans="1:13" ht="15.75" hidden="1" customHeight="1" x14ac:dyDescent="0.2">
      <c r="A410" s="256">
        <v>2</v>
      </c>
      <c r="B410" s="257">
        <f>VLOOKUP(46,'４×＋Ｗ'!C48:K48,4)</f>
        <v>0</v>
      </c>
      <c r="C410" s="258">
        <f>VLOOKUP(46,'４×＋Ｗ'!C48:K48,5)</f>
        <v>0</v>
      </c>
      <c r="D410" s="257">
        <f>VLOOKUP(46,'４×＋Ｗ'!C48:K48,6)</f>
        <v>0</v>
      </c>
      <c r="E410" s="242"/>
      <c r="F410" s="232"/>
    </row>
    <row r="411" spans="1:13" ht="15.75" hidden="1" customHeight="1" x14ac:dyDescent="0.2">
      <c r="A411" s="256" t="s">
        <v>27</v>
      </c>
      <c r="B411" s="257">
        <f>VLOOKUP(47,'４×＋Ｗ'!C49:K49,4)</f>
        <v>0</v>
      </c>
      <c r="C411" s="258">
        <f>VLOOKUP(47,'４×＋Ｗ'!C49:K49,5)</f>
        <v>0</v>
      </c>
      <c r="D411" s="257">
        <f>VLOOKUP(47,'４×＋Ｗ'!C49:K49,6)</f>
        <v>0</v>
      </c>
      <c r="E411" s="242"/>
      <c r="F411" s="232"/>
    </row>
    <row r="412" spans="1:13" ht="15.75" hidden="1" customHeight="1" x14ac:dyDescent="0.2">
      <c r="A412" s="256" t="s">
        <v>28</v>
      </c>
      <c r="B412" s="257">
        <f>VLOOKUP(48,'４×＋Ｗ'!C50:K50,4)</f>
        <v>0</v>
      </c>
      <c r="C412" s="258">
        <f>VLOOKUP(48,'４×＋Ｗ'!C50:K50,5)</f>
        <v>0</v>
      </c>
      <c r="D412" s="257">
        <f>VLOOKUP(48,'４×＋Ｗ'!C50:K50,6)</f>
        <v>0</v>
      </c>
      <c r="E412" s="242"/>
      <c r="F412" s="232"/>
    </row>
    <row r="413" spans="1:13" ht="15.75" hidden="1" customHeight="1" thickBot="1" x14ac:dyDescent="0.25">
      <c r="A413" s="248" t="s">
        <v>28</v>
      </c>
      <c r="B413" s="240">
        <f>VLOOKUP(49,'４×＋Ｗ'!C51:K51,4)</f>
        <v>0</v>
      </c>
      <c r="C413" s="241">
        <f>VLOOKUP(49,'４×＋Ｗ'!C51:K51,5)</f>
        <v>0</v>
      </c>
      <c r="D413" s="259">
        <f>VLOOKUP(49,'４×＋Ｗ'!C51:K51,6)</f>
        <v>0</v>
      </c>
      <c r="E413" s="242"/>
      <c r="F413" s="232"/>
    </row>
  </sheetData>
  <mergeCells count="276">
    <mergeCell ref="E271:F271"/>
    <mergeCell ref="B271:C271"/>
    <mergeCell ref="L395:M395"/>
    <mergeCell ref="L386:M386"/>
    <mergeCell ref="B344:C344"/>
    <mergeCell ref="E344:F344"/>
    <mergeCell ref="B386:C386"/>
    <mergeCell ref="B395:C395"/>
    <mergeCell ref="E395:F395"/>
    <mergeCell ref="I395:J395"/>
    <mergeCell ref="B366:C366"/>
    <mergeCell ref="E366:F366"/>
    <mergeCell ref="I354:J354"/>
    <mergeCell ref="L354:M354"/>
    <mergeCell ref="L376:M376"/>
    <mergeCell ref="B376:C376"/>
    <mergeCell ref="I376:J376"/>
    <mergeCell ref="L366:M366"/>
    <mergeCell ref="I366:J366"/>
    <mergeCell ref="E376:F376"/>
    <mergeCell ref="I386:J386"/>
    <mergeCell ref="E386:F386"/>
    <mergeCell ref="L344:M344"/>
    <mergeCell ref="I344:J344"/>
    <mergeCell ref="L334:M334"/>
    <mergeCell ref="I334:J334"/>
    <mergeCell ref="I285:J285"/>
    <mergeCell ref="L324:M324"/>
    <mergeCell ref="I314:J314"/>
    <mergeCell ref="I295:J295"/>
    <mergeCell ref="L305:M305"/>
    <mergeCell ref="I305:J305"/>
    <mergeCell ref="L314:M314"/>
    <mergeCell ref="I324:J324"/>
    <mergeCell ref="A1:M1"/>
    <mergeCell ref="I5:J5"/>
    <mergeCell ref="B91:C91"/>
    <mergeCell ref="B131:C131"/>
    <mergeCell ref="E131:F131"/>
    <mergeCell ref="B214:C214"/>
    <mergeCell ref="E214:F214"/>
    <mergeCell ref="B209:C209"/>
    <mergeCell ref="E209:F209"/>
    <mergeCell ref="B95:C95"/>
    <mergeCell ref="E179:F179"/>
    <mergeCell ref="B173:C173"/>
    <mergeCell ref="E173:F173"/>
    <mergeCell ref="B161:C161"/>
    <mergeCell ref="B143:C143"/>
    <mergeCell ref="E143:F143"/>
    <mergeCell ref="B127:C127"/>
    <mergeCell ref="I21:J21"/>
    <mergeCell ref="E21:F21"/>
    <mergeCell ref="B25:C25"/>
    <mergeCell ref="E25:F25"/>
    <mergeCell ref="I25:J25"/>
    <mergeCell ref="L29:M29"/>
    <mergeCell ref="B5:C5"/>
    <mergeCell ref="E5:F5"/>
    <mergeCell ref="L9:M9"/>
    <mergeCell ref="B13:C13"/>
    <mergeCell ref="I9:J9"/>
    <mergeCell ref="L13:M13"/>
    <mergeCell ref="I13:J13"/>
    <mergeCell ref="E13:F13"/>
    <mergeCell ref="B103:C103"/>
    <mergeCell ref="E103:F103"/>
    <mergeCell ref="E99:F99"/>
    <mergeCell ref="E57:F57"/>
    <mergeCell ref="E65:F65"/>
    <mergeCell ref="E91:F91"/>
    <mergeCell ref="B41:C41"/>
    <mergeCell ref="L5:M5"/>
    <mergeCell ref="B9:C9"/>
    <mergeCell ref="E9:F9"/>
    <mergeCell ref="B33:C33"/>
    <mergeCell ref="B21:C21"/>
    <mergeCell ref="E45:F45"/>
    <mergeCell ref="B37:C37"/>
    <mergeCell ref="B45:C45"/>
    <mergeCell ref="L41:M41"/>
    <mergeCell ref="I45:J45"/>
    <mergeCell ref="E41:F41"/>
    <mergeCell ref="I41:J41"/>
    <mergeCell ref="L25:M25"/>
    <mergeCell ref="L17:M17"/>
    <mergeCell ref="B17:C17"/>
    <mergeCell ref="E17:F17"/>
    <mergeCell ref="L21:M21"/>
    <mergeCell ref="L95:M95"/>
    <mergeCell ref="L185:M185"/>
    <mergeCell ref="L161:M161"/>
    <mergeCell ref="I103:J103"/>
    <mergeCell ref="I111:J111"/>
    <mergeCell ref="I115:J115"/>
    <mergeCell ref="L99:M99"/>
    <mergeCell ref="L107:M107"/>
    <mergeCell ref="L103:M103"/>
    <mergeCell ref="L127:M127"/>
    <mergeCell ref="L149:M149"/>
    <mergeCell ref="L131:M131"/>
    <mergeCell ref="L173:M173"/>
    <mergeCell ref="L179:M179"/>
    <mergeCell ref="L119:M119"/>
    <mergeCell ref="L111:M111"/>
    <mergeCell ref="L115:M115"/>
    <mergeCell ref="L197:M197"/>
    <mergeCell ref="E241:F241"/>
    <mergeCell ref="E247:F247"/>
    <mergeCell ref="I259:J259"/>
    <mergeCell ref="E259:F259"/>
    <mergeCell ref="I241:J241"/>
    <mergeCell ref="I247:J247"/>
    <mergeCell ref="L235:M235"/>
    <mergeCell ref="I253:J253"/>
    <mergeCell ref="E235:F235"/>
    <mergeCell ref="E226:F226"/>
    <mergeCell ref="L259:M259"/>
    <mergeCell ref="O301:P301"/>
    <mergeCell ref="L295:M295"/>
    <mergeCell ref="L285:M285"/>
    <mergeCell ref="L241:M241"/>
    <mergeCell ref="L253:M253"/>
    <mergeCell ref="I203:J203"/>
    <mergeCell ref="L203:M203"/>
    <mergeCell ref="I209:J209"/>
    <mergeCell ref="I271:J271"/>
    <mergeCell ref="L271:M271"/>
    <mergeCell ref="L209:M209"/>
    <mergeCell ref="L220:M220"/>
    <mergeCell ref="L214:M214"/>
    <mergeCell ref="I214:J214"/>
    <mergeCell ref="I220:J220"/>
    <mergeCell ref="I265:J265"/>
    <mergeCell ref="L226:M226"/>
    <mergeCell ref="I235:J235"/>
    <mergeCell ref="L247:M247"/>
    <mergeCell ref="I226:J226"/>
    <mergeCell ref="L277:M277"/>
    <mergeCell ref="L265:M265"/>
    <mergeCell ref="I277:J277"/>
    <mergeCell ref="B247:C247"/>
    <mergeCell ref="B197:C197"/>
    <mergeCell ref="E197:F197"/>
    <mergeCell ref="B185:C185"/>
    <mergeCell ref="I131:J131"/>
    <mergeCell ref="I123:J123"/>
    <mergeCell ref="B123:C123"/>
    <mergeCell ref="B179:C179"/>
    <mergeCell ref="B220:C220"/>
    <mergeCell ref="E220:F220"/>
    <mergeCell ref="E127:F127"/>
    <mergeCell ref="I127:J127"/>
    <mergeCell ref="I185:J185"/>
    <mergeCell ref="B191:C191"/>
    <mergeCell ref="I173:J173"/>
    <mergeCell ref="I179:J179"/>
    <mergeCell ref="I197:J197"/>
    <mergeCell ref="B155:C155"/>
    <mergeCell ref="E191:F191"/>
    <mergeCell ref="B235:C235"/>
    <mergeCell ref="L53:M53"/>
    <mergeCell ref="L49:M49"/>
    <mergeCell ref="I53:J53"/>
    <mergeCell ref="L57:M57"/>
    <mergeCell ref="L45:M45"/>
    <mergeCell ref="I57:J57"/>
    <mergeCell ref="I49:J49"/>
    <mergeCell ref="I191:J191"/>
    <mergeCell ref="E119:F119"/>
    <mergeCell ref="E33:F33"/>
    <mergeCell ref="L91:M91"/>
    <mergeCell ref="I91:J91"/>
    <mergeCell ref="E149:F149"/>
    <mergeCell ref="E185:F185"/>
    <mergeCell ref="I37:J37"/>
    <mergeCell ref="E115:F115"/>
    <mergeCell ref="L123:M123"/>
    <mergeCell ref="I137:J137"/>
    <mergeCell ref="L137:M137"/>
    <mergeCell ref="L167:M167"/>
    <mergeCell ref="L155:M155"/>
    <mergeCell ref="L143:M143"/>
    <mergeCell ref="I161:J161"/>
    <mergeCell ref="I167:J167"/>
    <mergeCell ref="I119:J119"/>
    <mergeCell ref="I143:J143"/>
    <mergeCell ref="I149:J149"/>
    <mergeCell ref="I155:J155"/>
    <mergeCell ref="I61:J61"/>
    <mergeCell ref="L61:M61"/>
    <mergeCell ref="E155:F155"/>
    <mergeCell ref="L33:M33"/>
    <mergeCell ref="L37:M37"/>
    <mergeCell ref="I17:J17"/>
    <mergeCell ref="B29:C29"/>
    <mergeCell ref="I99:J99"/>
    <mergeCell ref="B57:C57"/>
    <mergeCell ref="E111:F111"/>
    <mergeCell ref="I29:J29"/>
    <mergeCell ref="I33:J33"/>
    <mergeCell ref="E37:F37"/>
    <mergeCell ref="E61:F61"/>
    <mergeCell ref="B65:C65"/>
    <mergeCell ref="I65:J65"/>
    <mergeCell ref="E29:F29"/>
    <mergeCell ref="I95:J95"/>
    <mergeCell ref="I107:J107"/>
    <mergeCell ref="B107:C107"/>
    <mergeCell ref="B111:C111"/>
    <mergeCell ref="E107:F107"/>
    <mergeCell ref="E95:F95"/>
    <mergeCell ref="B49:C49"/>
    <mergeCell ref="B53:C53"/>
    <mergeCell ref="E49:F49"/>
    <mergeCell ref="B61:C61"/>
    <mergeCell ref="E53:F53"/>
    <mergeCell ref="B99:C99"/>
    <mergeCell ref="B405:C405"/>
    <mergeCell ref="E405:F405"/>
    <mergeCell ref="B277:C277"/>
    <mergeCell ref="E277:F277"/>
    <mergeCell ref="E285:F285"/>
    <mergeCell ref="B305:C305"/>
    <mergeCell ref="B285:C285"/>
    <mergeCell ref="B314:C314"/>
    <mergeCell ref="B354:C354"/>
    <mergeCell ref="E354:F354"/>
    <mergeCell ref="B334:C334"/>
    <mergeCell ref="E334:F334"/>
    <mergeCell ref="B324:C324"/>
    <mergeCell ref="E324:F324"/>
    <mergeCell ref="E295:F295"/>
    <mergeCell ref="E314:F314"/>
    <mergeCell ref="B295:C295"/>
    <mergeCell ref="E305:F305"/>
    <mergeCell ref="B253:C253"/>
    <mergeCell ref="E253:F253"/>
    <mergeCell ref="B226:C226"/>
    <mergeCell ref="B241:C241"/>
    <mergeCell ref="B265:C265"/>
    <mergeCell ref="E265:F265"/>
    <mergeCell ref="B259:C259"/>
    <mergeCell ref="L65:M65"/>
    <mergeCell ref="B69:C69"/>
    <mergeCell ref="E69:F69"/>
    <mergeCell ref="I69:J69"/>
    <mergeCell ref="L69:M69"/>
    <mergeCell ref="B115:C115"/>
    <mergeCell ref="E123:F123"/>
    <mergeCell ref="B167:C167"/>
    <mergeCell ref="E167:F167"/>
    <mergeCell ref="B149:C149"/>
    <mergeCell ref="B119:C119"/>
    <mergeCell ref="E161:F161"/>
    <mergeCell ref="B137:C137"/>
    <mergeCell ref="E137:F137"/>
    <mergeCell ref="L191:M191"/>
    <mergeCell ref="B203:C203"/>
    <mergeCell ref="E203:F203"/>
    <mergeCell ref="B85:C85"/>
    <mergeCell ref="E85:F85"/>
    <mergeCell ref="I85:J85"/>
    <mergeCell ref="L85:M85"/>
    <mergeCell ref="B73:C73"/>
    <mergeCell ref="E73:F73"/>
    <mergeCell ref="I73:J73"/>
    <mergeCell ref="L73:M73"/>
    <mergeCell ref="B77:C77"/>
    <mergeCell ref="E77:F77"/>
    <mergeCell ref="I77:J77"/>
    <mergeCell ref="L77:M77"/>
    <mergeCell ref="B81:C81"/>
    <mergeCell ref="E81:F81"/>
    <mergeCell ref="I81:J81"/>
    <mergeCell ref="L81:M81"/>
  </mergeCells>
  <phoneticPr fontId="1"/>
  <conditionalFormatting sqref="A1:XFD1048576">
    <cfRule type="cellIs" dxfId="0" priority="1" operator="equal">
      <formula>0</formula>
    </cfRule>
  </conditionalFormatting>
  <printOptions horizontalCentered="1"/>
  <pageMargins left="0.78740157480314965" right="0.51181102362204722" top="0.6692913385826772" bottom="0.55118110236220474" header="0.62992125984251968" footer="0.47244094488188981"/>
  <pageSetup paperSize="9" scale="82" fitToHeight="0" orientation="portrait" r:id="rId1"/>
  <headerFooter alignWithMargins="0"/>
  <rowBreaks count="3" manualBreakCount="3">
    <brk id="60" max="12" man="1"/>
    <brk id="153" max="12" man="1"/>
    <brk id="28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12</vt:i4>
      </vt:variant>
    </vt:vector>
  </HeadingPairs>
  <TitlesOfParts>
    <vt:vector size="31" baseType="lpstr">
      <vt:lpstr>ﾌﾟﾛｸﾞﾗﾑ表紙</vt:lpstr>
      <vt:lpstr>競漕日程</vt:lpstr>
      <vt:lpstr>得点表</vt:lpstr>
      <vt:lpstr>総合成績</vt:lpstr>
      <vt:lpstr>優勝校一覧</vt:lpstr>
      <vt:lpstr>出漕クルー一覧</vt:lpstr>
      <vt:lpstr>少年組合せ</vt:lpstr>
      <vt:lpstr>競漕成績</vt:lpstr>
      <vt:lpstr>選手名簿</vt:lpstr>
      <vt:lpstr>１×Ｍ</vt:lpstr>
      <vt:lpstr>１×Ｗ</vt:lpstr>
      <vt:lpstr>２×Ｍ</vt:lpstr>
      <vt:lpstr>２×Ｗ</vt:lpstr>
      <vt:lpstr>４×＋Ｍ</vt:lpstr>
      <vt:lpstr>４×＋Ｗ</vt:lpstr>
      <vt:lpstr>佐鳴湖航行ルール（練習時）</vt:lpstr>
      <vt:lpstr>佐鳴湖航行ルール（レース時）</vt:lpstr>
      <vt:lpstr>審判長注意</vt:lpstr>
      <vt:lpstr>変更届</vt:lpstr>
      <vt:lpstr>'１×Ｍ'!Print_Area</vt:lpstr>
      <vt:lpstr>'１×Ｗ'!Print_Area</vt:lpstr>
      <vt:lpstr>'２×Ｍ'!Print_Area</vt:lpstr>
      <vt:lpstr>'２×Ｗ'!Print_Area</vt:lpstr>
      <vt:lpstr>'４×＋Ｍ'!Print_Area</vt:lpstr>
      <vt:lpstr>'４×＋Ｗ'!Print_Area</vt:lpstr>
      <vt:lpstr>ﾌﾟﾛｸﾞﾗﾑ表紙!Print_Area</vt:lpstr>
      <vt:lpstr>競漕成績!Print_Area</vt:lpstr>
      <vt:lpstr>競漕日程!Print_Area</vt:lpstr>
      <vt:lpstr>少年組合せ!Print_Area</vt:lpstr>
      <vt:lpstr>選手名簿!Print_Area</vt:lpstr>
      <vt:lpstr>得点表!Print_Area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河口義治</dc:creator>
  <cp:lastModifiedBy>萩原康治</cp:lastModifiedBy>
  <cp:lastPrinted>2023-05-09T08:48:05Z</cp:lastPrinted>
  <dcterms:created xsi:type="dcterms:W3CDTF">2000-04-13T13:11:43Z</dcterms:created>
  <dcterms:modified xsi:type="dcterms:W3CDTF">2023-05-14T12:55:49Z</dcterms:modified>
</cp:coreProperties>
</file>