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R4\大会\プログラム\"/>
    </mc:Choice>
  </mc:AlternateContent>
  <xr:revisionPtr revIDLastSave="0" documentId="13_ncr:1_{C87BFF4E-DB5B-4386-AD6B-3EFC80B6BD36}" xr6:coauthVersionLast="47" xr6:coauthVersionMax="47" xr10:uidLastSave="{00000000-0000-0000-0000-000000000000}"/>
  <bookViews>
    <workbookView xWindow="-110" yWindow="-110" windowWidth="19420" windowHeight="10420" activeTab="1" xr2:uid="{00000000-000D-0000-FFFF-FFFF01000000}"/>
    <workbookView visibility="hidden" xWindow="-110" yWindow="-110" windowWidth="19420" windowHeight="10420" activeTab="1" xr2:uid="{4FA38F53-FE8A-49BE-8099-04A96CA56D38}"/>
  </bookViews>
  <sheets>
    <sheet name="ﾌﾟﾛｸﾞﾗﾑ表紙" sheetId="30" r:id="rId1"/>
    <sheet name="競漕日程" sheetId="34" r:id="rId2"/>
    <sheet name="出漕クルー一覧" sheetId="4" r:id="rId3"/>
    <sheet name="審判長注意" sheetId="25" r:id="rId4"/>
    <sheet name="組合せ" sheetId="10" r:id="rId5"/>
    <sheet name="選手名簿" sheetId="13" r:id="rId6"/>
    <sheet name="１×Ｗ" sheetId="20" r:id="rId7"/>
    <sheet name="１×Ｍ" sheetId="15" r:id="rId8"/>
    <sheet name="２×Ｗ" sheetId="18" r:id="rId9"/>
    <sheet name="2×M" sheetId="14" r:id="rId10"/>
    <sheet name="4×+W" sheetId="16" r:id="rId11"/>
    <sheet name="4×+M" sheetId="17" r:id="rId12"/>
    <sheet name="練習時航行ルール" sheetId="31" r:id="rId13"/>
    <sheet name="試合時航行ルール" sheetId="32" r:id="rId14"/>
    <sheet name="変更届" sheetId="33" r:id="rId15"/>
  </sheets>
  <definedNames>
    <definedName name="_xlnm.Print_Area" localSheetId="7">'１×Ｍ'!$A$1:$K$44</definedName>
    <definedName name="_xlnm.Print_Area" localSheetId="6">'１×Ｗ'!$A$1:$K$17</definedName>
    <definedName name="_xlnm.Print_Area" localSheetId="9">'2×M'!$A$1:$L$83</definedName>
    <definedName name="_xlnm.Print_Area" localSheetId="8">'２×Ｗ'!$A$1:$L$38</definedName>
    <definedName name="_xlnm.Print_Area" localSheetId="11">'4×+M'!$A$1:$L$128</definedName>
    <definedName name="_xlnm.Print_Area" localSheetId="10">'4×+W'!$A$1:$L$44</definedName>
    <definedName name="_xlnm.Print_Area" localSheetId="1">競漕日程!$A$1:$D$41</definedName>
    <definedName name="_xlnm.Print_Area" localSheetId="4">組合せ!$B$1:$R$440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6" i="10" l="1"/>
  <c r="R368" i="10"/>
  <c r="R305" i="10"/>
  <c r="R244" i="10"/>
  <c r="R6" i="10"/>
  <c r="R151" i="10"/>
  <c r="F131" i="10"/>
  <c r="F117" i="10"/>
  <c r="B144" i="10"/>
  <c r="C143" i="10"/>
  <c r="B143" i="10"/>
  <c r="B142" i="10"/>
  <c r="C141" i="10"/>
  <c r="B141" i="10"/>
  <c r="B140" i="10"/>
  <c r="C139" i="10"/>
  <c r="B139" i="10"/>
  <c r="B138" i="10"/>
  <c r="C137" i="10"/>
  <c r="B137" i="10"/>
  <c r="B136" i="10"/>
  <c r="C135" i="10"/>
  <c r="B135" i="10"/>
  <c r="B134" i="10"/>
  <c r="C133" i="10"/>
  <c r="B133" i="10"/>
  <c r="B130" i="10"/>
  <c r="C129" i="10"/>
  <c r="B129" i="10"/>
  <c r="B128" i="10"/>
  <c r="C127" i="10"/>
  <c r="B127" i="10"/>
  <c r="B126" i="10"/>
  <c r="C125" i="10"/>
  <c r="B125" i="10"/>
  <c r="B124" i="10"/>
  <c r="C123" i="10"/>
  <c r="B123" i="10"/>
  <c r="B122" i="10"/>
  <c r="C121" i="10"/>
  <c r="B121" i="10"/>
  <c r="B120" i="10"/>
  <c r="C119" i="10"/>
  <c r="B119" i="10"/>
  <c r="B116" i="10"/>
  <c r="C115" i="10"/>
  <c r="B115" i="10"/>
  <c r="B114" i="10"/>
  <c r="C113" i="10"/>
  <c r="B113" i="10"/>
  <c r="B112" i="10"/>
  <c r="C111" i="10"/>
  <c r="B111" i="10"/>
  <c r="B110" i="10"/>
  <c r="C109" i="10"/>
  <c r="B109" i="10"/>
  <c r="B108" i="10"/>
  <c r="C107" i="10"/>
  <c r="B107" i="10"/>
  <c r="B106" i="10"/>
  <c r="C105" i="10"/>
  <c r="B105" i="10"/>
  <c r="J151" i="10"/>
  <c r="B255" i="10"/>
  <c r="B253" i="10"/>
  <c r="B251" i="10"/>
  <c r="B249" i="10"/>
  <c r="B247" i="10"/>
  <c r="B245" i="10"/>
  <c r="B269" i="10"/>
  <c r="B267" i="10"/>
  <c r="B265" i="10"/>
  <c r="F257" i="10"/>
  <c r="F258" i="10" s="1"/>
  <c r="B259" i="10"/>
  <c r="B261" i="10"/>
  <c r="B263" i="10"/>
  <c r="B102" i="10"/>
  <c r="C101" i="10"/>
  <c r="B101" i="10"/>
  <c r="B100" i="10"/>
  <c r="C99" i="10"/>
  <c r="B99" i="10"/>
  <c r="B98" i="10"/>
  <c r="C97" i="10"/>
  <c r="B97" i="10"/>
  <c r="B96" i="10"/>
  <c r="C95" i="10"/>
  <c r="B95" i="10"/>
  <c r="B94" i="10"/>
  <c r="C93" i="10"/>
  <c r="B93" i="10"/>
  <c r="B92" i="10"/>
  <c r="C91" i="10"/>
  <c r="B91" i="10"/>
  <c r="B88" i="10"/>
  <c r="C87" i="10"/>
  <c r="B87" i="10"/>
  <c r="B86" i="10"/>
  <c r="C85" i="10"/>
  <c r="B85" i="10"/>
  <c r="B82" i="10"/>
  <c r="C81" i="10"/>
  <c r="B81" i="10"/>
  <c r="B80" i="10"/>
  <c r="C79" i="10"/>
  <c r="B79" i="10"/>
  <c r="B78" i="10"/>
  <c r="C77" i="10"/>
  <c r="B77" i="10"/>
  <c r="B74" i="10"/>
  <c r="C73" i="10"/>
  <c r="B73" i="10"/>
  <c r="B72" i="10"/>
  <c r="C71" i="10"/>
  <c r="B71" i="10"/>
  <c r="B70" i="10"/>
  <c r="C69" i="10"/>
  <c r="B69" i="10"/>
  <c r="B68" i="10"/>
  <c r="C67" i="10"/>
  <c r="B67" i="10"/>
  <c r="B66" i="10"/>
  <c r="C65" i="10"/>
  <c r="B65" i="10"/>
  <c r="B64" i="10"/>
  <c r="C63" i="10"/>
  <c r="B63" i="10"/>
  <c r="B60" i="10"/>
  <c r="C59" i="10"/>
  <c r="B59" i="10"/>
  <c r="B58" i="10"/>
  <c r="C57" i="10"/>
  <c r="B57" i="10"/>
  <c r="B56" i="10"/>
  <c r="C55" i="10"/>
  <c r="B55" i="10"/>
  <c r="B54" i="10"/>
  <c r="C53" i="10"/>
  <c r="B53" i="10"/>
  <c r="B52" i="10"/>
  <c r="C51" i="10"/>
  <c r="B51" i="10"/>
  <c r="B50" i="10"/>
  <c r="C49" i="10"/>
  <c r="B49" i="10"/>
  <c r="B46" i="10"/>
  <c r="C45" i="10"/>
  <c r="B45" i="10"/>
  <c r="B44" i="10"/>
  <c r="C43" i="10"/>
  <c r="B43" i="10"/>
  <c r="B42" i="10"/>
  <c r="C41" i="10"/>
  <c r="B41" i="10"/>
  <c r="B40" i="10"/>
  <c r="C39" i="10"/>
  <c r="B39" i="10"/>
  <c r="B38" i="10"/>
  <c r="C37" i="10"/>
  <c r="B37" i="10"/>
  <c r="B36" i="10"/>
  <c r="C35" i="10"/>
  <c r="B35" i="10"/>
  <c r="B32" i="10"/>
  <c r="C31" i="10"/>
  <c r="B31" i="10"/>
  <c r="B30" i="10"/>
  <c r="C29" i="10"/>
  <c r="B29" i="10"/>
  <c r="B28" i="10"/>
  <c r="C27" i="10"/>
  <c r="B27" i="10"/>
  <c r="B26" i="10"/>
  <c r="C25" i="10"/>
  <c r="B25" i="10"/>
  <c r="B24" i="10"/>
  <c r="C23" i="10"/>
  <c r="B23" i="10"/>
  <c r="B22" i="10"/>
  <c r="C21" i="10"/>
  <c r="B21" i="10"/>
  <c r="B18" i="10"/>
  <c r="C17" i="10"/>
  <c r="B17" i="10"/>
  <c r="B16" i="10"/>
  <c r="C15" i="10"/>
  <c r="B15" i="10"/>
  <c r="B14" i="10"/>
  <c r="C13" i="10"/>
  <c r="B13" i="10"/>
  <c r="B12" i="10"/>
  <c r="C11" i="10"/>
  <c r="B11" i="10"/>
  <c r="B10" i="10"/>
  <c r="C9" i="10"/>
  <c r="B9" i="10"/>
  <c r="B8" i="10"/>
  <c r="C7" i="10"/>
  <c r="B7" i="10"/>
  <c r="C83" i="10"/>
  <c r="B83" i="10"/>
  <c r="F271" i="10" l="1"/>
  <c r="F272" i="10" s="1"/>
  <c r="K87" i="13"/>
  <c r="J87" i="13"/>
  <c r="I87" i="13"/>
  <c r="I85" i="13"/>
  <c r="M85" i="13"/>
  <c r="L85" i="13"/>
  <c r="D87" i="13"/>
  <c r="C87" i="13"/>
  <c r="B87" i="13"/>
  <c r="F85" i="13"/>
  <c r="E85" i="13"/>
  <c r="B85" i="13"/>
  <c r="D83" i="13"/>
  <c r="C83" i="13"/>
  <c r="B83" i="13"/>
  <c r="B81" i="13"/>
  <c r="K83" i="13"/>
  <c r="J83" i="13"/>
  <c r="I83" i="13"/>
  <c r="M81" i="13"/>
  <c r="L81" i="13"/>
  <c r="I81" i="13"/>
  <c r="F81" i="13"/>
  <c r="E81" i="13"/>
  <c r="B77" i="13"/>
  <c r="K91" i="13"/>
  <c r="J91" i="13"/>
  <c r="I91" i="13"/>
  <c r="D91" i="13"/>
  <c r="C91" i="13"/>
  <c r="B91" i="13"/>
  <c r="M89" i="13"/>
  <c r="L89" i="13"/>
  <c r="I89" i="13"/>
  <c r="F89" i="13"/>
  <c r="E89" i="13"/>
  <c r="B89" i="13"/>
  <c r="K79" i="13"/>
  <c r="J79" i="13"/>
  <c r="I79" i="13"/>
  <c r="M77" i="13"/>
  <c r="L77" i="13"/>
  <c r="I77" i="13"/>
  <c r="D79" i="13"/>
  <c r="C79" i="13"/>
  <c r="B79" i="13"/>
  <c r="F77" i="13"/>
  <c r="E77" i="13"/>
  <c r="K75" i="13"/>
  <c r="J75" i="13"/>
  <c r="I75" i="13"/>
  <c r="M73" i="13"/>
  <c r="L73" i="13"/>
  <c r="I73" i="13"/>
  <c r="D75" i="13"/>
  <c r="C75" i="13"/>
  <c r="B75" i="13"/>
  <c r="F73" i="13"/>
  <c r="E73" i="13"/>
  <c r="B73" i="13"/>
  <c r="J165" i="10" l="1"/>
  <c r="J166" i="10" s="1"/>
  <c r="C207" i="10"/>
  <c r="B207" i="10"/>
  <c r="C205" i="10"/>
  <c r="B205" i="10"/>
  <c r="C203" i="10"/>
  <c r="B203" i="10"/>
  <c r="C201" i="10"/>
  <c r="B201" i="10"/>
  <c r="C199" i="10"/>
  <c r="B199" i="10"/>
  <c r="C197" i="10"/>
  <c r="B197" i="10"/>
  <c r="F416" i="10" l="1"/>
  <c r="F368" i="10"/>
  <c r="J305" i="10"/>
  <c r="F305" i="10"/>
  <c r="J244" i="10"/>
  <c r="F244" i="10"/>
  <c r="F151" i="10"/>
  <c r="C192" i="10"/>
  <c r="B192" i="10"/>
  <c r="C190" i="10"/>
  <c r="B190" i="10"/>
  <c r="C188" i="10"/>
  <c r="B188" i="10"/>
  <c r="C186" i="10"/>
  <c r="B186" i="10"/>
  <c r="C184" i="10"/>
  <c r="B184" i="10"/>
  <c r="C182" i="10"/>
  <c r="B182" i="10"/>
  <c r="N6" i="10"/>
  <c r="J6" i="10"/>
  <c r="F6" i="10"/>
  <c r="B84" i="10"/>
  <c r="K20" i="30" l="1"/>
  <c r="I13" i="30"/>
  <c r="I11" i="30"/>
  <c r="J19" i="10" l="1"/>
  <c r="J20" i="10" s="1"/>
  <c r="J33" i="10" l="1"/>
  <c r="B421" i="10"/>
  <c r="B439" i="10"/>
  <c r="B425" i="10"/>
  <c r="B423" i="10"/>
  <c r="B419" i="10"/>
  <c r="B417" i="10"/>
  <c r="B409" i="10"/>
  <c r="B407" i="10"/>
  <c r="B405" i="10"/>
  <c r="B403" i="10"/>
  <c r="B401" i="10"/>
  <c r="B399" i="10"/>
  <c r="F382" i="10"/>
  <c r="F383" i="10" s="1"/>
  <c r="F318" i="10"/>
  <c r="F319" i="10" s="1"/>
  <c r="J257" i="10"/>
  <c r="J258" i="10" s="1"/>
  <c r="B297" i="10"/>
  <c r="B295" i="10"/>
  <c r="B293" i="10"/>
  <c r="B291" i="10"/>
  <c r="B289" i="10"/>
  <c r="B287" i="10"/>
  <c r="B283" i="10"/>
  <c r="B281" i="10"/>
  <c r="B279" i="10"/>
  <c r="B277" i="10"/>
  <c r="B275" i="10"/>
  <c r="B273" i="10"/>
  <c r="F165" i="10"/>
  <c r="N19" i="10"/>
  <c r="F19" i="10"/>
  <c r="F20" i="10" s="1"/>
  <c r="N20" i="10" l="1"/>
  <c r="N33" i="10"/>
  <c r="N34" i="10" s="1"/>
  <c r="F166" i="10"/>
  <c r="F180" i="10"/>
  <c r="J34" i="10"/>
  <c r="J47" i="10"/>
  <c r="J61" i="10" s="1"/>
  <c r="F33" i="10"/>
  <c r="F34" i="10" s="1"/>
  <c r="F397" i="10"/>
  <c r="F398" i="10" s="1"/>
  <c r="J75" i="10" l="1"/>
  <c r="J62" i="10"/>
  <c r="F181" i="10"/>
  <c r="F195" i="10"/>
  <c r="F196" i="10" s="1"/>
  <c r="J48" i="10"/>
  <c r="F47" i="10"/>
  <c r="F48" i="10" s="1"/>
  <c r="K404" i="13"/>
  <c r="J404" i="13"/>
  <c r="I404" i="13"/>
  <c r="K403" i="13"/>
  <c r="J403" i="13"/>
  <c r="I403" i="13"/>
  <c r="K402" i="13"/>
  <c r="J402" i="13"/>
  <c r="I402" i="13"/>
  <c r="K401" i="13"/>
  <c r="J401" i="13"/>
  <c r="I401" i="13"/>
  <c r="K400" i="13"/>
  <c r="J400" i="13"/>
  <c r="I400" i="13"/>
  <c r="K399" i="13"/>
  <c r="J399" i="13"/>
  <c r="I399" i="13"/>
  <c r="K398" i="13"/>
  <c r="J398" i="13"/>
  <c r="I398" i="13"/>
  <c r="M396" i="13"/>
  <c r="L396" i="13"/>
  <c r="I396" i="13"/>
  <c r="D403" i="13"/>
  <c r="C403" i="13"/>
  <c r="B403" i="13"/>
  <c r="D404" i="13"/>
  <c r="C404" i="13"/>
  <c r="B404" i="13"/>
  <c r="D402" i="13"/>
  <c r="C402" i="13"/>
  <c r="B402" i="13"/>
  <c r="D401" i="13"/>
  <c r="C401" i="13"/>
  <c r="B401" i="13"/>
  <c r="D400" i="13"/>
  <c r="C400" i="13"/>
  <c r="B400" i="13"/>
  <c r="D399" i="13"/>
  <c r="C399" i="13"/>
  <c r="B399" i="13"/>
  <c r="D398" i="13"/>
  <c r="C398" i="13"/>
  <c r="B398" i="13"/>
  <c r="F396" i="13"/>
  <c r="E396" i="13"/>
  <c r="B396" i="13"/>
  <c r="B386" i="13"/>
  <c r="J76" i="10" l="1"/>
  <c r="J89" i="10"/>
  <c r="F61" i="10"/>
  <c r="F62" i="10" s="1"/>
  <c r="C169" i="10"/>
  <c r="B394" i="10"/>
  <c r="B392" i="10"/>
  <c r="B390" i="10"/>
  <c r="B388" i="10"/>
  <c r="B386" i="10"/>
  <c r="B384" i="10"/>
  <c r="B379" i="10"/>
  <c r="B377" i="10"/>
  <c r="B375" i="10"/>
  <c r="B373" i="10"/>
  <c r="B371" i="10"/>
  <c r="B369" i="10"/>
  <c r="B330" i="10"/>
  <c r="B328" i="10"/>
  <c r="B326" i="10"/>
  <c r="B324" i="10"/>
  <c r="B322" i="10"/>
  <c r="B320" i="10"/>
  <c r="B316" i="10"/>
  <c r="B314" i="10"/>
  <c r="B312" i="10"/>
  <c r="B310" i="10"/>
  <c r="B308" i="10"/>
  <c r="B306" i="10"/>
  <c r="C152" i="10"/>
  <c r="C177" i="10"/>
  <c r="B177" i="10"/>
  <c r="C175" i="10"/>
  <c r="B175" i="10"/>
  <c r="C173" i="10"/>
  <c r="B173" i="10"/>
  <c r="C171" i="10"/>
  <c r="B171" i="10"/>
  <c r="B169" i="10"/>
  <c r="C167" i="10"/>
  <c r="B167" i="10"/>
  <c r="C162" i="10"/>
  <c r="B162" i="10"/>
  <c r="C160" i="10"/>
  <c r="B160" i="10"/>
  <c r="C158" i="10"/>
  <c r="B158" i="10"/>
  <c r="C156" i="10"/>
  <c r="B156" i="10"/>
  <c r="C154" i="10"/>
  <c r="B154" i="10"/>
  <c r="B152" i="10"/>
  <c r="M386" i="13"/>
  <c r="M376" i="13"/>
  <c r="M366" i="13"/>
  <c r="M354" i="13"/>
  <c r="M344" i="13"/>
  <c r="M334" i="13"/>
  <c r="M324" i="13"/>
  <c r="M314" i="13"/>
  <c r="M304" i="13"/>
  <c r="M294" i="13"/>
  <c r="M284" i="13"/>
  <c r="M276" i="13"/>
  <c r="M270" i="13"/>
  <c r="M264" i="13"/>
  <c r="M258" i="13"/>
  <c r="M252" i="13"/>
  <c r="M246" i="13"/>
  <c r="M240" i="13"/>
  <c r="M225" i="13"/>
  <c r="M219" i="13"/>
  <c r="M213" i="13"/>
  <c r="M207" i="13"/>
  <c r="M201" i="13"/>
  <c r="M195" i="13"/>
  <c r="M189" i="13"/>
  <c r="M183" i="13"/>
  <c r="M177" i="13"/>
  <c r="M171" i="13"/>
  <c r="M165" i="13"/>
  <c r="M159" i="13"/>
  <c r="M153" i="13"/>
  <c r="M147" i="13"/>
  <c r="M141" i="13"/>
  <c r="M135" i="13"/>
  <c r="M131" i="13"/>
  <c r="M127" i="13"/>
  <c r="M123" i="13"/>
  <c r="M119" i="13"/>
  <c r="M115" i="13"/>
  <c r="M111" i="13"/>
  <c r="M107" i="13"/>
  <c r="M103" i="13"/>
  <c r="M99" i="13"/>
  <c r="M95" i="13"/>
  <c r="M69" i="13"/>
  <c r="M65" i="13"/>
  <c r="M61" i="13"/>
  <c r="M57" i="13"/>
  <c r="M53" i="13"/>
  <c r="M49" i="13"/>
  <c r="M45" i="13"/>
  <c r="M41" i="13"/>
  <c r="M37" i="13"/>
  <c r="M33" i="13"/>
  <c r="M29" i="13"/>
  <c r="M25" i="13"/>
  <c r="M21" i="13"/>
  <c r="M17" i="13"/>
  <c r="M13" i="13"/>
  <c r="M9" i="13"/>
  <c r="M5" i="13"/>
  <c r="F386" i="13"/>
  <c r="F376" i="13"/>
  <c r="F366" i="13"/>
  <c r="F354" i="13"/>
  <c r="F344" i="13"/>
  <c r="F334" i="13"/>
  <c r="F324" i="13"/>
  <c r="F314" i="13"/>
  <c r="F304" i="13"/>
  <c r="F294" i="13"/>
  <c r="F284" i="13"/>
  <c r="F276" i="13"/>
  <c r="F270" i="13"/>
  <c r="F264" i="13"/>
  <c r="F258" i="13"/>
  <c r="F252" i="13"/>
  <c r="F246" i="13"/>
  <c r="F240" i="13"/>
  <c r="F231" i="13"/>
  <c r="F225" i="13"/>
  <c r="F219" i="13"/>
  <c r="F213" i="13"/>
  <c r="F207" i="13"/>
  <c r="F201" i="13"/>
  <c r="F195" i="13"/>
  <c r="F189" i="13"/>
  <c r="F183" i="13"/>
  <c r="F177" i="13"/>
  <c r="F171" i="13"/>
  <c r="F165" i="13"/>
  <c r="F159" i="13"/>
  <c r="F153" i="13"/>
  <c r="F147" i="13"/>
  <c r="F141" i="13"/>
  <c r="F135" i="13"/>
  <c r="F131" i="13"/>
  <c r="F127" i="13"/>
  <c r="F123" i="13"/>
  <c r="F119" i="13"/>
  <c r="F115" i="13"/>
  <c r="F111" i="13"/>
  <c r="F107" i="13"/>
  <c r="F103" i="13"/>
  <c r="F99" i="13"/>
  <c r="F95" i="13"/>
  <c r="F69" i="13"/>
  <c r="F65" i="13"/>
  <c r="F61" i="13"/>
  <c r="F57" i="13"/>
  <c r="F53" i="13"/>
  <c r="F49" i="13"/>
  <c r="F45" i="13"/>
  <c r="F41" i="13"/>
  <c r="F37" i="13"/>
  <c r="F33" i="13"/>
  <c r="F29" i="13"/>
  <c r="F25" i="13"/>
  <c r="F21" i="13"/>
  <c r="F17" i="13"/>
  <c r="F13" i="13"/>
  <c r="F9" i="13"/>
  <c r="F5" i="13"/>
  <c r="B5" i="13"/>
  <c r="K394" i="13"/>
  <c r="J394" i="13"/>
  <c r="I394" i="13"/>
  <c r="D394" i="13"/>
  <c r="C394" i="13"/>
  <c r="B394" i="13"/>
  <c r="K393" i="13"/>
  <c r="J393" i="13"/>
  <c r="I393" i="13"/>
  <c r="D393" i="13"/>
  <c r="C393" i="13"/>
  <c r="B393" i="13"/>
  <c r="K392" i="13"/>
  <c r="J392" i="13"/>
  <c r="I392" i="13"/>
  <c r="D392" i="13"/>
  <c r="C392" i="13"/>
  <c r="B392" i="13"/>
  <c r="K391" i="13"/>
  <c r="J391" i="13"/>
  <c r="I391" i="13"/>
  <c r="D391" i="13"/>
  <c r="C391" i="13"/>
  <c r="B391" i="13"/>
  <c r="K390" i="13"/>
  <c r="J390" i="13"/>
  <c r="I390" i="13"/>
  <c r="D390" i="13"/>
  <c r="C390" i="13"/>
  <c r="B390" i="13"/>
  <c r="K389" i="13"/>
  <c r="J389" i="13"/>
  <c r="I389" i="13"/>
  <c r="D389" i="13"/>
  <c r="C389" i="13"/>
  <c r="B389" i="13"/>
  <c r="K388" i="13"/>
  <c r="J388" i="13"/>
  <c r="I388" i="13"/>
  <c r="D388" i="13"/>
  <c r="C388" i="13"/>
  <c r="B388" i="13"/>
  <c r="L386" i="13"/>
  <c r="I386" i="13"/>
  <c r="E386" i="13"/>
  <c r="K384" i="13"/>
  <c r="J384" i="13"/>
  <c r="I384" i="13"/>
  <c r="D384" i="13"/>
  <c r="C384" i="13"/>
  <c r="B384" i="13"/>
  <c r="K383" i="13"/>
  <c r="J383" i="13"/>
  <c r="I383" i="13"/>
  <c r="D383" i="13"/>
  <c r="C383" i="13"/>
  <c r="B383" i="13"/>
  <c r="K382" i="13"/>
  <c r="J382" i="13"/>
  <c r="I382" i="13"/>
  <c r="D382" i="13"/>
  <c r="C382" i="13"/>
  <c r="B382" i="13"/>
  <c r="K381" i="13"/>
  <c r="J381" i="13"/>
  <c r="I381" i="13"/>
  <c r="D381" i="13"/>
  <c r="C381" i="13"/>
  <c r="B381" i="13"/>
  <c r="K380" i="13"/>
  <c r="J380" i="13"/>
  <c r="I380" i="13"/>
  <c r="D380" i="13"/>
  <c r="C380" i="13"/>
  <c r="B380" i="13"/>
  <c r="K379" i="13"/>
  <c r="J379" i="13"/>
  <c r="I379" i="13"/>
  <c r="D379" i="13"/>
  <c r="C379" i="13"/>
  <c r="B379" i="13"/>
  <c r="K378" i="13"/>
  <c r="J378" i="13"/>
  <c r="I378" i="13"/>
  <c r="D378" i="13"/>
  <c r="C378" i="13"/>
  <c r="B378" i="13"/>
  <c r="L376" i="13"/>
  <c r="I376" i="13"/>
  <c r="E376" i="13"/>
  <c r="B376" i="13"/>
  <c r="K374" i="13"/>
  <c r="J374" i="13"/>
  <c r="I374" i="13"/>
  <c r="D374" i="13"/>
  <c r="C374" i="13"/>
  <c r="B374" i="13"/>
  <c r="K373" i="13"/>
  <c r="J373" i="13"/>
  <c r="I373" i="13"/>
  <c r="D373" i="13"/>
  <c r="C373" i="13"/>
  <c r="B373" i="13"/>
  <c r="K372" i="13"/>
  <c r="J372" i="13"/>
  <c r="I372" i="13"/>
  <c r="D372" i="13"/>
  <c r="C372" i="13"/>
  <c r="B372" i="13"/>
  <c r="K371" i="13"/>
  <c r="J371" i="13"/>
  <c r="I371" i="13"/>
  <c r="D371" i="13"/>
  <c r="C371" i="13"/>
  <c r="B371" i="13"/>
  <c r="K370" i="13"/>
  <c r="J370" i="13"/>
  <c r="I370" i="13"/>
  <c r="D370" i="13"/>
  <c r="C370" i="13"/>
  <c r="B370" i="13"/>
  <c r="K369" i="13"/>
  <c r="J369" i="13"/>
  <c r="I369" i="13"/>
  <c r="D369" i="13"/>
  <c r="C369" i="13"/>
  <c r="B369" i="13"/>
  <c r="K368" i="13"/>
  <c r="J368" i="13"/>
  <c r="I368" i="13"/>
  <c r="D368" i="13"/>
  <c r="C368" i="13"/>
  <c r="B368" i="13"/>
  <c r="L366" i="13"/>
  <c r="I366" i="13"/>
  <c r="E366" i="13"/>
  <c r="B366" i="13"/>
  <c r="K362" i="13"/>
  <c r="J362" i="13"/>
  <c r="I362" i="13"/>
  <c r="D362" i="13"/>
  <c r="C362" i="13"/>
  <c r="B362" i="13"/>
  <c r="K361" i="13"/>
  <c r="J361" i="13"/>
  <c r="I361" i="13"/>
  <c r="D361" i="13"/>
  <c r="C361" i="13"/>
  <c r="B361" i="13"/>
  <c r="K360" i="13"/>
  <c r="J360" i="13"/>
  <c r="I360" i="13"/>
  <c r="D360" i="13"/>
  <c r="C360" i="13"/>
  <c r="B360" i="13"/>
  <c r="K359" i="13"/>
  <c r="J359" i="13"/>
  <c r="I359" i="13"/>
  <c r="D359" i="13"/>
  <c r="C359" i="13"/>
  <c r="B359" i="13"/>
  <c r="K358" i="13"/>
  <c r="J358" i="13"/>
  <c r="I358" i="13"/>
  <c r="D358" i="13"/>
  <c r="C358" i="13"/>
  <c r="B358" i="13"/>
  <c r="K357" i="13"/>
  <c r="J357" i="13"/>
  <c r="I357" i="13"/>
  <c r="D357" i="13"/>
  <c r="C357" i="13"/>
  <c r="B357" i="13"/>
  <c r="K356" i="13"/>
  <c r="J356" i="13"/>
  <c r="I356" i="13"/>
  <c r="D356" i="13"/>
  <c r="C356" i="13"/>
  <c r="B356" i="13"/>
  <c r="L354" i="13"/>
  <c r="I354" i="13"/>
  <c r="E354" i="13"/>
  <c r="B354" i="13"/>
  <c r="K352" i="13"/>
  <c r="J352" i="13"/>
  <c r="I352" i="13"/>
  <c r="D352" i="13"/>
  <c r="C352" i="13"/>
  <c r="B352" i="13"/>
  <c r="K351" i="13"/>
  <c r="J351" i="13"/>
  <c r="I351" i="13"/>
  <c r="D351" i="13"/>
  <c r="C351" i="13"/>
  <c r="B351" i="13"/>
  <c r="K350" i="13"/>
  <c r="J350" i="13"/>
  <c r="I350" i="13"/>
  <c r="D350" i="13"/>
  <c r="C350" i="13"/>
  <c r="B350" i="13"/>
  <c r="K349" i="13"/>
  <c r="J349" i="13"/>
  <c r="I349" i="13"/>
  <c r="D349" i="13"/>
  <c r="C349" i="13"/>
  <c r="B349" i="13"/>
  <c r="K348" i="13"/>
  <c r="J348" i="13"/>
  <c r="I348" i="13"/>
  <c r="D348" i="13"/>
  <c r="C348" i="13"/>
  <c r="B348" i="13"/>
  <c r="K347" i="13"/>
  <c r="J347" i="13"/>
  <c r="I347" i="13"/>
  <c r="D347" i="13"/>
  <c r="C347" i="13"/>
  <c r="B347" i="13"/>
  <c r="K346" i="13"/>
  <c r="J346" i="13"/>
  <c r="I346" i="13"/>
  <c r="D346" i="13"/>
  <c r="C346" i="13"/>
  <c r="B346" i="13"/>
  <c r="L344" i="13"/>
  <c r="I344" i="13"/>
  <c r="E344" i="13"/>
  <c r="B344" i="13"/>
  <c r="K342" i="13"/>
  <c r="J342" i="13"/>
  <c r="I342" i="13"/>
  <c r="D342" i="13"/>
  <c r="C342" i="13"/>
  <c r="B342" i="13"/>
  <c r="K341" i="13"/>
  <c r="J341" i="13"/>
  <c r="I341" i="13"/>
  <c r="D341" i="13"/>
  <c r="C341" i="13"/>
  <c r="B341" i="13"/>
  <c r="K340" i="13"/>
  <c r="J340" i="13"/>
  <c r="I340" i="13"/>
  <c r="D340" i="13"/>
  <c r="C340" i="13"/>
  <c r="B340" i="13"/>
  <c r="K339" i="13"/>
  <c r="J339" i="13"/>
  <c r="I339" i="13"/>
  <c r="D339" i="13"/>
  <c r="C339" i="13"/>
  <c r="B339" i="13"/>
  <c r="K338" i="13"/>
  <c r="J338" i="13"/>
  <c r="I338" i="13"/>
  <c r="D338" i="13"/>
  <c r="C338" i="13"/>
  <c r="B338" i="13"/>
  <c r="K337" i="13"/>
  <c r="J337" i="13"/>
  <c r="I337" i="13"/>
  <c r="D337" i="13"/>
  <c r="C337" i="13"/>
  <c r="B337" i="13"/>
  <c r="K336" i="13"/>
  <c r="J336" i="13"/>
  <c r="I336" i="13"/>
  <c r="D336" i="13"/>
  <c r="C336" i="13"/>
  <c r="B336" i="13"/>
  <c r="L334" i="13"/>
  <c r="I334" i="13"/>
  <c r="E334" i="13"/>
  <c r="B334" i="13"/>
  <c r="K332" i="13"/>
  <c r="J332" i="13"/>
  <c r="I332" i="13"/>
  <c r="D332" i="13"/>
  <c r="C332" i="13"/>
  <c r="B332" i="13"/>
  <c r="K331" i="13"/>
  <c r="J331" i="13"/>
  <c r="I331" i="13"/>
  <c r="D331" i="13"/>
  <c r="C331" i="13"/>
  <c r="B331" i="13"/>
  <c r="K330" i="13"/>
  <c r="J330" i="13"/>
  <c r="I330" i="13"/>
  <c r="D330" i="13"/>
  <c r="C330" i="13"/>
  <c r="B330" i="13"/>
  <c r="K329" i="13"/>
  <c r="J329" i="13"/>
  <c r="I329" i="13"/>
  <c r="D329" i="13"/>
  <c r="C329" i="13"/>
  <c r="B329" i="13"/>
  <c r="K328" i="13"/>
  <c r="J328" i="13"/>
  <c r="I328" i="13"/>
  <c r="D328" i="13"/>
  <c r="C328" i="13"/>
  <c r="B328" i="13"/>
  <c r="K327" i="13"/>
  <c r="J327" i="13"/>
  <c r="I327" i="13"/>
  <c r="D327" i="13"/>
  <c r="C327" i="13"/>
  <c r="B327" i="13"/>
  <c r="K326" i="13"/>
  <c r="J326" i="13"/>
  <c r="I326" i="13"/>
  <c r="D326" i="13"/>
  <c r="C326" i="13"/>
  <c r="B326" i="13"/>
  <c r="L324" i="13"/>
  <c r="I324" i="13"/>
  <c r="E324" i="13"/>
  <c r="B324" i="13"/>
  <c r="K322" i="13"/>
  <c r="J322" i="13"/>
  <c r="I322" i="13"/>
  <c r="D322" i="13"/>
  <c r="C322" i="13"/>
  <c r="B322" i="13"/>
  <c r="K321" i="13"/>
  <c r="J321" i="13"/>
  <c r="I321" i="13"/>
  <c r="D321" i="13"/>
  <c r="C321" i="13"/>
  <c r="B321" i="13"/>
  <c r="K320" i="13"/>
  <c r="J320" i="13"/>
  <c r="I320" i="13"/>
  <c r="D320" i="13"/>
  <c r="C320" i="13"/>
  <c r="B320" i="13"/>
  <c r="K319" i="13"/>
  <c r="J319" i="13"/>
  <c r="I319" i="13"/>
  <c r="D319" i="13"/>
  <c r="C319" i="13"/>
  <c r="B319" i="13"/>
  <c r="K318" i="13"/>
  <c r="J318" i="13"/>
  <c r="I318" i="13"/>
  <c r="D318" i="13"/>
  <c r="C318" i="13"/>
  <c r="B318" i="13"/>
  <c r="K317" i="13"/>
  <c r="J317" i="13"/>
  <c r="I317" i="13"/>
  <c r="D317" i="13"/>
  <c r="C317" i="13"/>
  <c r="B317" i="13"/>
  <c r="K316" i="13"/>
  <c r="J316" i="13"/>
  <c r="I316" i="13"/>
  <c r="D316" i="13"/>
  <c r="C316" i="13"/>
  <c r="B316" i="13"/>
  <c r="L314" i="13"/>
  <c r="I314" i="13"/>
  <c r="E314" i="13"/>
  <c r="B314" i="13"/>
  <c r="K312" i="13"/>
  <c r="J312" i="13"/>
  <c r="I312" i="13"/>
  <c r="D312" i="13"/>
  <c r="C312" i="13"/>
  <c r="B312" i="13"/>
  <c r="K311" i="13"/>
  <c r="J311" i="13"/>
  <c r="I311" i="13"/>
  <c r="D311" i="13"/>
  <c r="C311" i="13"/>
  <c r="B311" i="13"/>
  <c r="K310" i="13"/>
  <c r="J310" i="13"/>
  <c r="I310" i="13"/>
  <c r="D310" i="13"/>
  <c r="C310" i="13"/>
  <c r="B310" i="13"/>
  <c r="K309" i="13"/>
  <c r="J309" i="13"/>
  <c r="I309" i="13"/>
  <c r="D309" i="13"/>
  <c r="C309" i="13"/>
  <c r="B309" i="13"/>
  <c r="K308" i="13"/>
  <c r="J308" i="13"/>
  <c r="I308" i="13"/>
  <c r="D308" i="13"/>
  <c r="C308" i="13"/>
  <c r="B308" i="13"/>
  <c r="K307" i="13"/>
  <c r="J307" i="13"/>
  <c r="I307" i="13"/>
  <c r="D307" i="13"/>
  <c r="C307" i="13"/>
  <c r="B307" i="13"/>
  <c r="K306" i="13"/>
  <c r="J306" i="13"/>
  <c r="I306" i="13"/>
  <c r="D306" i="13"/>
  <c r="C306" i="13"/>
  <c r="B306" i="13"/>
  <c r="L304" i="13"/>
  <c r="I304" i="13"/>
  <c r="E304" i="13"/>
  <c r="B304" i="13"/>
  <c r="K302" i="13"/>
  <c r="J302" i="13"/>
  <c r="I302" i="13"/>
  <c r="D302" i="13"/>
  <c r="C302" i="13"/>
  <c r="B302" i="13"/>
  <c r="K301" i="13"/>
  <c r="J301" i="13"/>
  <c r="I301" i="13"/>
  <c r="D301" i="13"/>
  <c r="C301" i="13"/>
  <c r="B301" i="13"/>
  <c r="K300" i="13"/>
  <c r="J300" i="13"/>
  <c r="I300" i="13"/>
  <c r="D300" i="13"/>
  <c r="C300" i="13"/>
  <c r="B300" i="13"/>
  <c r="K299" i="13"/>
  <c r="J299" i="13"/>
  <c r="I299" i="13"/>
  <c r="D299" i="13"/>
  <c r="C299" i="13"/>
  <c r="B299" i="13"/>
  <c r="K298" i="13"/>
  <c r="J298" i="13"/>
  <c r="I298" i="13"/>
  <c r="D298" i="13"/>
  <c r="C298" i="13"/>
  <c r="B298" i="13"/>
  <c r="K297" i="13"/>
  <c r="J297" i="13"/>
  <c r="I297" i="13"/>
  <c r="D297" i="13"/>
  <c r="C297" i="13"/>
  <c r="B297" i="13"/>
  <c r="K296" i="13"/>
  <c r="J296" i="13"/>
  <c r="I296" i="13"/>
  <c r="D296" i="13"/>
  <c r="C296" i="13"/>
  <c r="B296" i="13"/>
  <c r="L294" i="13"/>
  <c r="I294" i="13"/>
  <c r="E294" i="13"/>
  <c r="B294" i="13"/>
  <c r="K292" i="13"/>
  <c r="J292" i="13"/>
  <c r="I292" i="13"/>
  <c r="D292" i="13"/>
  <c r="C292" i="13"/>
  <c r="B292" i="13"/>
  <c r="K291" i="13"/>
  <c r="J291" i="13"/>
  <c r="I291" i="13"/>
  <c r="D291" i="13"/>
  <c r="C291" i="13"/>
  <c r="B291" i="13"/>
  <c r="K290" i="13"/>
  <c r="J290" i="13"/>
  <c r="I290" i="13"/>
  <c r="D290" i="13"/>
  <c r="C290" i="13"/>
  <c r="B290" i="13"/>
  <c r="K289" i="13"/>
  <c r="J289" i="13"/>
  <c r="I289" i="13"/>
  <c r="D289" i="13"/>
  <c r="C289" i="13"/>
  <c r="B289" i="13"/>
  <c r="K288" i="13"/>
  <c r="J288" i="13"/>
  <c r="I288" i="13"/>
  <c r="D288" i="13"/>
  <c r="C288" i="13"/>
  <c r="B288" i="13"/>
  <c r="K287" i="13"/>
  <c r="J287" i="13"/>
  <c r="I287" i="13"/>
  <c r="D287" i="13"/>
  <c r="C287" i="13"/>
  <c r="B287" i="13"/>
  <c r="K286" i="13"/>
  <c r="J286" i="13"/>
  <c r="I286" i="13"/>
  <c r="D286" i="13"/>
  <c r="C286" i="13"/>
  <c r="B286" i="13"/>
  <c r="L284" i="13"/>
  <c r="I284" i="13"/>
  <c r="E284" i="13"/>
  <c r="B284" i="13"/>
  <c r="K280" i="13"/>
  <c r="J280" i="13"/>
  <c r="I280" i="13"/>
  <c r="D280" i="13"/>
  <c r="C280" i="13"/>
  <c r="B280" i="13"/>
  <c r="K279" i="13"/>
  <c r="J279" i="13"/>
  <c r="I279" i="13"/>
  <c r="D279" i="13"/>
  <c r="C279" i="13"/>
  <c r="B279" i="13"/>
  <c r="K278" i="13"/>
  <c r="J278" i="13"/>
  <c r="I278" i="13"/>
  <c r="D278" i="13"/>
  <c r="C278" i="13"/>
  <c r="B278" i="13"/>
  <c r="L276" i="13"/>
  <c r="I276" i="13"/>
  <c r="E276" i="13"/>
  <c r="B276" i="13"/>
  <c r="K274" i="13"/>
  <c r="J274" i="13"/>
  <c r="I274" i="13"/>
  <c r="D274" i="13"/>
  <c r="C274" i="13"/>
  <c r="B274" i="13"/>
  <c r="K273" i="13"/>
  <c r="J273" i="13"/>
  <c r="I273" i="13"/>
  <c r="D273" i="13"/>
  <c r="C273" i="13"/>
  <c r="B273" i="13"/>
  <c r="K272" i="13"/>
  <c r="J272" i="13"/>
  <c r="I272" i="13"/>
  <c r="D272" i="13"/>
  <c r="C272" i="13"/>
  <c r="B272" i="13"/>
  <c r="L270" i="13"/>
  <c r="I270" i="13"/>
  <c r="E270" i="13"/>
  <c r="B270" i="13"/>
  <c r="K268" i="13"/>
  <c r="J268" i="13"/>
  <c r="I268" i="13"/>
  <c r="D268" i="13"/>
  <c r="C268" i="13"/>
  <c r="B268" i="13"/>
  <c r="K267" i="13"/>
  <c r="J267" i="13"/>
  <c r="I267" i="13"/>
  <c r="D267" i="13"/>
  <c r="C267" i="13"/>
  <c r="B267" i="13"/>
  <c r="K266" i="13"/>
  <c r="J266" i="13"/>
  <c r="I266" i="13"/>
  <c r="D266" i="13"/>
  <c r="C266" i="13"/>
  <c r="B266" i="13"/>
  <c r="L264" i="13"/>
  <c r="I264" i="13"/>
  <c r="E264" i="13"/>
  <c r="B264" i="13"/>
  <c r="K262" i="13"/>
  <c r="J262" i="13"/>
  <c r="I262" i="13"/>
  <c r="D262" i="13"/>
  <c r="C262" i="13"/>
  <c r="B262" i="13"/>
  <c r="K261" i="13"/>
  <c r="J261" i="13"/>
  <c r="I261" i="13"/>
  <c r="D261" i="13"/>
  <c r="C261" i="13"/>
  <c r="B261" i="13"/>
  <c r="K260" i="13"/>
  <c r="J260" i="13"/>
  <c r="I260" i="13"/>
  <c r="D260" i="13"/>
  <c r="C260" i="13"/>
  <c r="B260" i="13"/>
  <c r="L258" i="13"/>
  <c r="I258" i="13"/>
  <c r="E258" i="13"/>
  <c r="B258" i="13"/>
  <c r="K256" i="13"/>
  <c r="J256" i="13"/>
  <c r="I256" i="13"/>
  <c r="D256" i="13"/>
  <c r="C256" i="13"/>
  <c r="B256" i="13"/>
  <c r="K255" i="13"/>
  <c r="J255" i="13"/>
  <c r="I255" i="13"/>
  <c r="D255" i="13"/>
  <c r="C255" i="13"/>
  <c r="B255" i="13"/>
  <c r="K254" i="13"/>
  <c r="J254" i="13"/>
  <c r="I254" i="13"/>
  <c r="D254" i="13"/>
  <c r="C254" i="13"/>
  <c r="B254" i="13"/>
  <c r="L252" i="13"/>
  <c r="I252" i="13"/>
  <c r="E252" i="13"/>
  <c r="B252" i="13"/>
  <c r="K250" i="13"/>
  <c r="J250" i="13"/>
  <c r="I250" i="13"/>
  <c r="D250" i="13"/>
  <c r="C250" i="13"/>
  <c r="B250" i="13"/>
  <c r="K249" i="13"/>
  <c r="J249" i="13"/>
  <c r="I249" i="13"/>
  <c r="D249" i="13"/>
  <c r="C249" i="13"/>
  <c r="B249" i="13"/>
  <c r="K248" i="13"/>
  <c r="J248" i="13"/>
  <c r="I248" i="13"/>
  <c r="D248" i="13"/>
  <c r="C248" i="13"/>
  <c r="B248" i="13"/>
  <c r="L246" i="13"/>
  <c r="I246" i="13"/>
  <c r="E246" i="13"/>
  <c r="B246" i="13"/>
  <c r="K244" i="13"/>
  <c r="J244" i="13"/>
  <c r="I244" i="13"/>
  <c r="D244" i="13"/>
  <c r="C244" i="13"/>
  <c r="B244" i="13"/>
  <c r="K243" i="13"/>
  <c r="J243" i="13"/>
  <c r="I243" i="13"/>
  <c r="D243" i="13"/>
  <c r="C243" i="13"/>
  <c r="B243" i="13"/>
  <c r="K242" i="13"/>
  <c r="J242" i="13"/>
  <c r="I242" i="13"/>
  <c r="D242" i="13"/>
  <c r="C242" i="13"/>
  <c r="B242" i="13"/>
  <c r="L240" i="13"/>
  <c r="I240" i="13"/>
  <c r="E240" i="13"/>
  <c r="B240" i="13"/>
  <c r="D235" i="13"/>
  <c r="C235" i="13"/>
  <c r="B235" i="13"/>
  <c r="D234" i="13"/>
  <c r="C234" i="13"/>
  <c r="B234" i="13"/>
  <c r="D233" i="13"/>
  <c r="C233" i="13"/>
  <c r="B233" i="13"/>
  <c r="E231" i="13"/>
  <c r="B231" i="13"/>
  <c r="K229" i="13"/>
  <c r="J229" i="13"/>
  <c r="I229" i="13"/>
  <c r="D229" i="13"/>
  <c r="C229" i="13"/>
  <c r="B229" i="13"/>
  <c r="K228" i="13"/>
  <c r="J228" i="13"/>
  <c r="I228" i="13"/>
  <c r="D228" i="13"/>
  <c r="C228" i="13"/>
  <c r="B228" i="13"/>
  <c r="K227" i="13"/>
  <c r="J227" i="13"/>
  <c r="I227" i="13"/>
  <c r="D227" i="13"/>
  <c r="C227" i="13"/>
  <c r="B227" i="13"/>
  <c r="L225" i="13"/>
  <c r="I225" i="13"/>
  <c r="E225" i="13"/>
  <c r="B225" i="13"/>
  <c r="K223" i="13"/>
  <c r="J223" i="13"/>
  <c r="I223" i="13"/>
  <c r="D223" i="13"/>
  <c r="C223" i="13"/>
  <c r="B223" i="13"/>
  <c r="K222" i="13"/>
  <c r="J222" i="13"/>
  <c r="I222" i="13"/>
  <c r="D222" i="13"/>
  <c r="C222" i="13"/>
  <c r="B222" i="13"/>
  <c r="K221" i="13"/>
  <c r="J221" i="13"/>
  <c r="I221" i="13"/>
  <c r="D221" i="13"/>
  <c r="C221" i="13"/>
  <c r="B221" i="13"/>
  <c r="L219" i="13"/>
  <c r="I219" i="13"/>
  <c r="E219" i="13"/>
  <c r="B219" i="13"/>
  <c r="K217" i="13"/>
  <c r="J217" i="13"/>
  <c r="I217" i="13"/>
  <c r="D217" i="13"/>
  <c r="C217" i="13"/>
  <c r="B217" i="13"/>
  <c r="K216" i="13"/>
  <c r="J216" i="13"/>
  <c r="I216" i="13"/>
  <c r="D216" i="13"/>
  <c r="C216" i="13"/>
  <c r="B216" i="13"/>
  <c r="K215" i="13"/>
  <c r="J215" i="13"/>
  <c r="I215" i="13"/>
  <c r="D215" i="13"/>
  <c r="C215" i="13"/>
  <c r="B215" i="13"/>
  <c r="L213" i="13"/>
  <c r="I213" i="13"/>
  <c r="E213" i="13"/>
  <c r="B213" i="13"/>
  <c r="K211" i="13"/>
  <c r="J211" i="13"/>
  <c r="I211" i="13"/>
  <c r="D211" i="13"/>
  <c r="C211" i="13"/>
  <c r="B211" i="13"/>
  <c r="K210" i="13"/>
  <c r="J210" i="13"/>
  <c r="I210" i="13"/>
  <c r="D210" i="13"/>
  <c r="C210" i="13"/>
  <c r="B210" i="13"/>
  <c r="K209" i="13"/>
  <c r="J209" i="13"/>
  <c r="I209" i="13"/>
  <c r="D209" i="13"/>
  <c r="C209" i="13"/>
  <c r="B209" i="13"/>
  <c r="L207" i="13"/>
  <c r="I207" i="13"/>
  <c r="E207" i="13"/>
  <c r="B207" i="13"/>
  <c r="K205" i="13"/>
  <c r="J205" i="13"/>
  <c r="I205" i="13"/>
  <c r="D205" i="13"/>
  <c r="C205" i="13"/>
  <c r="B205" i="13"/>
  <c r="K204" i="13"/>
  <c r="J204" i="13"/>
  <c r="I204" i="13"/>
  <c r="D204" i="13"/>
  <c r="C204" i="13"/>
  <c r="B204" i="13"/>
  <c r="K203" i="13"/>
  <c r="J203" i="13"/>
  <c r="I203" i="13"/>
  <c r="D203" i="13"/>
  <c r="C203" i="13"/>
  <c r="B203" i="13"/>
  <c r="L201" i="13"/>
  <c r="I201" i="13"/>
  <c r="E201" i="13"/>
  <c r="B201" i="13"/>
  <c r="K199" i="13"/>
  <c r="J199" i="13"/>
  <c r="I199" i="13"/>
  <c r="D199" i="13"/>
  <c r="C199" i="13"/>
  <c r="B199" i="13"/>
  <c r="K198" i="13"/>
  <c r="J198" i="13"/>
  <c r="I198" i="13"/>
  <c r="D198" i="13"/>
  <c r="C198" i="13"/>
  <c r="B198" i="13"/>
  <c r="K197" i="13"/>
  <c r="J197" i="13"/>
  <c r="I197" i="13"/>
  <c r="D197" i="13"/>
  <c r="C197" i="13"/>
  <c r="B197" i="13"/>
  <c r="L195" i="13"/>
  <c r="I195" i="13"/>
  <c r="E195" i="13"/>
  <c r="B195" i="13"/>
  <c r="K193" i="13"/>
  <c r="J193" i="13"/>
  <c r="I193" i="13"/>
  <c r="D193" i="13"/>
  <c r="C193" i="13"/>
  <c r="B193" i="13"/>
  <c r="K192" i="13"/>
  <c r="J192" i="13"/>
  <c r="I192" i="13"/>
  <c r="D192" i="13"/>
  <c r="C192" i="13"/>
  <c r="B192" i="13"/>
  <c r="K191" i="13"/>
  <c r="J191" i="13"/>
  <c r="I191" i="13"/>
  <c r="D191" i="13"/>
  <c r="C191" i="13"/>
  <c r="B191" i="13"/>
  <c r="L189" i="13"/>
  <c r="I189" i="13"/>
  <c r="E189" i="13"/>
  <c r="B189" i="13"/>
  <c r="K187" i="13"/>
  <c r="J187" i="13"/>
  <c r="I187" i="13"/>
  <c r="D187" i="13"/>
  <c r="C187" i="13"/>
  <c r="B187" i="13"/>
  <c r="K186" i="13"/>
  <c r="J186" i="13"/>
  <c r="I186" i="13"/>
  <c r="D186" i="13"/>
  <c r="C186" i="13"/>
  <c r="B186" i="13"/>
  <c r="K185" i="13"/>
  <c r="J185" i="13"/>
  <c r="I185" i="13"/>
  <c r="D185" i="13"/>
  <c r="C185" i="13"/>
  <c r="B185" i="13"/>
  <c r="L183" i="13"/>
  <c r="I183" i="13"/>
  <c r="E183" i="13"/>
  <c r="B183" i="13"/>
  <c r="K181" i="13"/>
  <c r="J181" i="13"/>
  <c r="I181" i="13"/>
  <c r="D181" i="13"/>
  <c r="C181" i="13"/>
  <c r="B181" i="13"/>
  <c r="K180" i="13"/>
  <c r="J180" i="13"/>
  <c r="I180" i="13"/>
  <c r="D180" i="13"/>
  <c r="C180" i="13"/>
  <c r="B180" i="13"/>
  <c r="K179" i="13"/>
  <c r="J179" i="13"/>
  <c r="I179" i="13"/>
  <c r="D179" i="13"/>
  <c r="C179" i="13"/>
  <c r="B179" i="13"/>
  <c r="L177" i="13"/>
  <c r="I177" i="13"/>
  <c r="E177" i="13"/>
  <c r="B177" i="13"/>
  <c r="K175" i="13"/>
  <c r="J175" i="13"/>
  <c r="I175" i="13"/>
  <c r="D175" i="13"/>
  <c r="C175" i="13"/>
  <c r="B175" i="13"/>
  <c r="K174" i="13"/>
  <c r="J174" i="13"/>
  <c r="I174" i="13"/>
  <c r="D174" i="13"/>
  <c r="C174" i="13"/>
  <c r="B174" i="13"/>
  <c r="K173" i="13"/>
  <c r="J173" i="13"/>
  <c r="I173" i="13"/>
  <c r="D173" i="13"/>
  <c r="C173" i="13"/>
  <c r="B173" i="13"/>
  <c r="L171" i="13"/>
  <c r="I171" i="13"/>
  <c r="E171" i="13"/>
  <c r="B171" i="13"/>
  <c r="K169" i="13"/>
  <c r="J169" i="13"/>
  <c r="I169" i="13"/>
  <c r="D169" i="13"/>
  <c r="C169" i="13"/>
  <c r="B169" i="13"/>
  <c r="K168" i="13"/>
  <c r="J168" i="13"/>
  <c r="I168" i="13"/>
  <c r="D168" i="13"/>
  <c r="C168" i="13"/>
  <c r="B168" i="13"/>
  <c r="K167" i="13"/>
  <c r="J167" i="13"/>
  <c r="I167" i="13"/>
  <c r="D167" i="13"/>
  <c r="C167" i="13"/>
  <c r="B167" i="13"/>
  <c r="L165" i="13"/>
  <c r="I165" i="13"/>
  <c r="E165" i="13"/>
  <c r="B165" i="13"/>
  <c r="K163" i="13"/>
  <c r="J163" i="13"/>
  <c r="I163" i="13"/>
  <c r="D163" i="13"/>
  <c r="C163" i="13"/>
  <c r="B163" i="13"/>
  <c r="K162" i="13"/>
  <c r="J162" i="13"/>
  <c r="I162" i="13"/>
  <c r="D162" i="13"/>
  <c r="C162" i="13"/>
  <c r="B162" i="13"/>
  <c r="K161" i="13"/>
  <c r="J161" i="13"/>
  <c r="I161" i="13"/>
  <c r="D161" i="13"/>
  <c r="C161" i="13"/>
  <c r="B161" i="13"/>
  <c r="L159" i="13"/>
  <c r="I159" i="13"/>
  <c r="E159" i="13"/>
  <c r="B159" i="13"/>
  <c r="K157" i="13"/>
  <c r="J157" i="13"/>
  <c r="I157" i="13"/>
  <c r="D157" i="13"/>
  <c r="C157" i="13"/>
  <c r="B157" i="13"/>
  <c r="K156" i="13"/>
  <c r="J156" i="13"/>
  <c r="I156" i="13"/>
  <c r="D156" i="13"/>
  <c r="C156" i="13"/>
  <c r="B156" i="13"/>
  <c r="K155" i="13"/>
  <c r="J155" i="13"/>
  <c r="I155" i="13"/>
  <c r="D155" i="13"/>
  <c r="C155" i="13"/>
  <c r="B155" i="13"/>
  <c r="L153" i="13"/>
  <c r="I153" i="13"/>
  <c r="E153" i="13"/>
  <c r="B153" i="13"/>
  <c r="K151" i="13"/>
  <c r="J151" i="13"/>
  <c r="I151" i="13"/>
  <c r="D151" i="13"/>
  <c r="C151" i="13"/>
  <c r="B151" i="13"/>
  <c r="K150" i="13"/>
  <c r="J150" i="13"/>
  <c r="I150" i="13"/>
  <c r="D150" i="13"/>
  <c r="C150" i="13"/>
  <c r="B150" i="13"/>
  <c r="K149" i="13"/>
  <c r="J149" i="13"/>
  <c r="I149" i="13"/>
  <c r="D149" i="13"/>
  <c r="C149" i="13"/>
  <c r="B149" i="13"/>
  <c r="L147" i="13"/>
  <c r="I147" i="13"/>
  <c r="E147" i="13"/>
  <c r="B147" i="13"/>
  <c r="K145" i="13"/>
  <c r="J145" i="13"/>
  <c r="I145" i="13"/>
  <c r="D145" i="13"/>
  <c r="C145" i="13"/>
  <c r="B145" i="13"/>
  <c r="K144" i="13"/>
  <c r="J144" i="13"/>
  <c r="I144" i="13"/>
  <c r="D144" i="13"/>
  <c r="C144" i="13"/>
  <c r="B144" i="13"/>
  <c r="K143" i="13"/>
  <c r="J143" i="13"/>
  <c r="I143" i="13"/>
  <c r="D143" i="13"/>
  <c r="C143" i="13"/>
  <c r="B143" i="13"/>
  <c r="L141" i="13"/>
  <c r="I141" i="13"/>
  <c r="E141" i="13"/>
  <c r="B141" i="13"/>
  <c r="K137" i="13"/>
  <c r="J137" i="13"/>
  <c r="I137" i="13"/>
  <c r="D137" i="13"/>
  <c r="C137" i="13"/>
  <c r="B137" i="13"/>
  <c r="L135" i="13"/>
  <c r="I135" i="13"/>
  <c r="E135" i="13"/>
  <c r="B135" i="13"/>
  <c r="K133" i="13"/>
  <c r="J133" i="13"/>
  <c r="I133" i="13"/>
  <c r="D133" i="13"/>
  <c r="C133" i="13"/>
  <c r="B133" i="13"/>
  <c r="L131" i="13"/>
  <c r="I131" i="13"/>
  <c r="E131" i="13"/>
  <c r="B131" i="13"/>
  <c r="K129" i="13"/>
  <c r="J129" i="13"/>
  <c r="I129" i="13"/>
  <c r="D129" i="13"/>
  <c r="C129" i="13"/>
  <c r="B129" i="13"/>
  <c r="L127" i="13"/>
  <c r="I127" i="13"/>
  <c r="E127" i="13"/>
  <c r="B127" i="13"/>
  <c r="K125" i="13"/>
  <c r="J125" i="13"/>
  <c r="I125" i="13"/>
  <c r="D125" i="13"/>
  <c r="C125" i="13"/>
  <c r="B125" i="13"/>
  <c r="L123" i="13"/>
  <c r="I123" i="13"/>
  <c r="E123" i="13"/>
  <c r="B123" i="13"/>
  <c r="K121" i="13"/>
  <c r="J121" i="13"/>
  <c r="I121" i="13"/>
  <c r="D121" i="13"/>
  <c r="C121" i="13"/>
  <c r="B121" i="13"/>
  <c r="L119" i="13"/>
  <c r="I119" i="13"/>
  <c r="E119" i="13"/>
  <c r="B119" i="13"/>
  <c r="K117" i="13"/>
  <c r="J117" i="13"/>
  <c r="I117" i="13"/>
  <c r="D117" i="13"/>
  <c r="C117" i="13"/>
  <c r="B117" i="13"/>
  <c r="L115" i="13"/>
  <c r="I115" i="13"/>
  <c r="E115" i="13"/>
  <c r="B115" i="13"/>
  <c r="K113" i="13"/>
  <c r="J113" i="13"/>
  <c r="I113" i="13"/>
  <c r="D113" i="13"/>
  <c r="C113" i="13"/>
  <c r="B113" i="13"/>
  <c r="L111" i="13"/>
  <c r="I111" i="13"/>
  <c r="E111" i="13"/>
  <c r="B111" i="13"/>
  <c r="K109" i="13"/>
  <c r="J109" i="13"/>
  <c r="I109" i="13"/>
  <c r="D109" i="13"/>
  <c r="C109" i="13"/>
  <c r="B109" i="13"/>
  <c r="L107" i="13"/>
  <c r="I107" i="13"/>
  <c r="E107" i="13"/>
  <c r="B107" i="13"/>
  <c r="K105" i="13"/>
  <c r="J105" i="13"/>
  <c r="I105" i="13"/>
  <c r="D105" i="13"/>
  <c r="C105" i="13"/>
  <c r="B105" i="13"/>
  <c r="L103" i="13"/>
  <c r="I103" i="13"/>
  <c r="E103" i="13"/>
  <c r="B103" i="13"/>
  <c r="K101" i="13"/>
  <c r="J101" i="13"/>
  <c r="I101" i="13"/>
  <c r="D101" i="13"/>
  <c r="C101" i="13"/>
  <c r="B101" i="13"/>
  <c r="L99" i="13"/>
  <c r="I99" i="13"/>
  <c r="E99" i="13"/>
  <c r="B99" i="13"/>
  <c r="K97" i="13"/>
  <c r="J97" i="13"/>
  <c r="I97" i="13"/>
  <c r="D97" i="13"/>
  <c r="C97" i="13"/>
  <c r="B97" i="13"/>
  <c r="L95" i="13"/>
  <c r="I95" i="13"/>
  <c r="E95" i="13"/>
  <c r="B95" i="13"/>
  <c r="K71" i="13"/>
  <c r="J71" i="13"/>
  <c r="I71" i="13"/>
  <c r="D71" i="13"/>
  <c r="C71" i="13"/>
  <c r="B71" i="13"/>
  <c r="L69" i="13"/>
  <c r="I69" i="13"/>
  <c r="E69" i="13"/>
  <c r="B69" i="13"/>
  <c r="K67" i="13"/>
  <c r="J67" i="13"/>
  <c r="I67" i="13"/>
  <c r="D67" i="13"/>
  <c r="C67" i="13"/>
  <c r="B67" i="13"/>
  <c r="L65" i="13"/>
  <c r="I65" i="13"/>
  <c r="E65" i="13"/>
  <c r="B65" i="13"/>
  <c r="K63" i="13"/>
  <c r="J63" i="13"/>
  <c r="I63" i="13"/>
  <c r="D63" i="13"/>
  <c r="C63" i="13"/>
  <c r="B63" i="13"/>
  <c r="L61" i="13"/>
  <c r="I61" i="13"/>
  <c r="E61" i="13"/>
  <c r="B61" i="13"/>
  <c r="K59" i="13"/>
  <c r="J59" i="13"/>
  <c r="I59" i="13"/>
  <c r="D59" i="13"/>
  <c r="C59" i="13"/>
  <c r="B59" i="13"/>
  <c r="L57" i="13"/>
  <c r="I57" i="13"/>
  <c r="E57" i="13"/>
  <c r="B57" i="13"/>
  <c r="K55" i="13"/>
  <c r="J55" i="13"/>
  <c r="I55" i="13"/>
  <c r="D55" i="13"/>
  <c r="C55" i="13"/>
  <c r="B55" i="13"/>
  <c r="L53" i="13"/>
  <c r="I53" i="13"/>
  <c r="E53" i="13"/>
  <c r="B53" i="13"/>
  <c r="K51" i="13"/>
  <c r="J51" i="13"/>
  <c r="I51" i="13"/>
  <c r="D51" i="13"/>
  <c r="C51" i="13"/>
  <c r="B51" i="13"/>
  <c r="L49" i="13"/>
  <c r="I49" i="13"/>
  <c r="E49" i="13"/>
  <c r="B49" i="13"/>
  <c r="K47" i="13"/>
  <c r="J47" i="13"/>
  <c r="I47" i="13"/>
  <c r="D47" i="13"/>
  <c r="C47" i="13"/>
  <c r="B47" i="13"/>
  <c r="L45" i="13"/>
  <c r="I45" i="13"/>
  <c r="E45" i="13"/>
  <c r="B45" i="13"/>
  <c r="K43" i="13"/>
  <c r="J43" i="13"/>
  <c r="I43" i="13"/>
  <c r="D43" i="13"/>
  <c r="C43" i="13"/>
  <c r="B43" i="13"/>
  <c r="L41" i="13"/>
  <c r="I41" i="13"/>
  <c r="E41" i="13"/>
  <c r="B41" i="13"/>
  <c r="K39" i="13"/>
  <c r="J39" i="13"/>
  <c r="I39" i="13"/>
  <c r="D39" i="13"/>
  <c r="C39" i="13"/>
  <c r="B39" i="13"/>
  <c r="L37" i="13"/>
  <c r="I37" i="13"/>
  <c r="E37" i="13"/>
  <c r="B37" i="13"/>
  <c r="K35" i="13"/>
  <c r="J35" i="13"/>
  <c r="I35" i="13"/>
  <c r="D35" i="13"/>
  <c r="C35" i="13"/>
  <c r="B35" i="13"/>
  <c r="L33" i="13"/>
  <c r="I33" i="13"/>
  <c r="E33" i="13"/>
  <c r="B33" i="13"/>
  <c r="K31" i="13"/>
  <c r="J31" i="13"/>
  <c r="I31" i="13"/>
  <c r="D31" i="13"/>
  <c r="C31" i="13"/>
  <c r="B31" i="13"/>
  <c r="L29" i="13"/>
  <c r="I29" i="13"/>
  <c r="E29" i="13"/>
  <c r="B29" i="13"/>
  <c r="K27" i="13"/>
  <c r="J27" i="13"/>
  <c r="I27" i="13"/>
  <c r="D27" i="13"/>
  <c r="C27" i="13"/>
  <c r="B27" i="13"/>
  <c r="L25" i="13"/>
  <c r="I25" i="13"/>
  <c r="E25" i="13"/>
  <c r="B25" i="13"/>
  <c r="K23" i="13"/>
  <c r="J23" i="13"/>
  <c r="I23" i="13"/>
  <c r="D23" i="13"/>
  <c r="C23" i="13"/>
  <c r="B23" i="13"/>
  <c r="L21" i="13"/>
  <c r="I21" i="13"/>
  <c r="E21" i="13"/>
  <c r="B21" i="13"/>
  <c r="K19" i="13"/>
  <c r="J19" i="13"/>
  <c r="I19" i="13"/>
  <c r="D19" i="13"/>
  <c r="C19" i="13"/>
  <c r="B19" i="13"/>
  <c r="L17" i="13"/>
  <c r="I17" i="13"/>
  <c r="E17" i="13"/>
  <c r="B17" i="13"/>
  <c r="K15" i="13"/>
  <c r="J15" i="13"/>
  <c r="I15" i="13"/>
  <c r="D15" i="13"/>
  <c r="C15" i="13"/>
  <c r="B15" i="13"/>
  <c r="L13" i="13"/>
  <c r="I13" i="13"/>
  <c r="E13" i="13"/>
  <c r="B13" i="13"/>
  <c r="K11" i="13"/>
  <c r="J11" i="13"/>
  <c r="I11" i="13"/>
  <c r="D11" i="13"/>
  <c r="C11" i="13"/>
  <c r="B11" i="13"/>
  <c r="L9" i="13"/>
  <c r="I9" i="13"/>
  <c r="E9" i="13"/>
  <c r="B9" i="13"/>
  <c r="K7" i="13"/>
  <c r="J7" i="13"/>
  <c r="I7" i="13"/>
  <c r="D7" i="13"/>
  <c r="C7" i="13"/>
  <c r="B7" i="13"/>
  <c r="L5" i="13"/>
  <c r="I5" i="13"/>
  <c r="E5" i="13"/>
  <c r="B342" i="10"/>
  <c r="B340" i="10"/>
  <c r="B338" i="10"/>
  <c r="B336" i="10"/>
  <c r="C220" i="10"/>
  <c r="C218" i="10"/>
  <c r="C216" i="10"/>
  <c r="C214" i="10"/>
  <c r="B220" i="10"/>
  <c r="B218" i="10"/>
  <c r="B216" i="10"/>
  <c r="B214" i="10"/>
  <c r="C212" i="10"/>
  <c r="B212" i="10"/>
  <c r="B437" i="10"/>
  <c r="B435" i="10"/>
  <c r="B433" i="10"/>
  <c r="B431" i="10"/>
  <c r="B358" i="10"/>
  <c r="B356" i="10"/>
  <c r="B354" i="10"/>
  <c r="B352" i="10"/>
  <c r="B350" i="10"/>
  <c r="B348" i="10"/>
  <c r="C222" i="10"/>
  <c r="B222" i="10"/>
  <c r="G14" i="4"/>
  <c r="F14" i="4"/>
  <c r="E14" i="4"/>
  <c r="D14" i="4"/>
  <c r="C14" i="4"/>
  <c r="B14" i="4"/>
  <c r="C234" i="10"/>
  <c r="C232" i="10"/>
  <c r="C230" i="10"/>
  <c r="C228" i="10"/>
  <c r="C226" i="10"/>
  <c r="B234" i="10"/>
  <c r="B232" i="10"/>
  <c r="B230" i="10"/>
  <c r="B228" i="10"/>
  <c r="B226" i="10"/>
  <c r="B334" i="10"/>
  <c r="J103" i="10" l="1"/>
  <c r="J104" i="10" s="1"/>
  <c r="J90" i="10"/>
  <c r="F75" i="10"/>
  <c r="F76" i="10" s="1"/>
  <c r="F89" i="10" l="1"/>
  <c r="F90" i="10" s="1"/>
  <c r="F103" i="10" l="1"/>
  <c r="F104" i="10" s="1"/>
  <c r="F118" i="10" l="1"/>
  <c r="F132" i="10"/>
  <c r="B268" i="10"/>
  <c r="B436" i="10"/>
  <c r="B349" i="10"/>
  <c r="B198" i="10"/>
  <c r="B157" i="10"/>
  <c r="B290" i="10"/>
  <c r="B374" i="10"/>
  <c r="B408" i="10"/>
  <c r="B296" i="10"/>
  <c r="B288" i="10"/>
  <c r="B321" i="10"/>
  <c r="B426" i="10"/>
  <c r="B202" i="10"/>
  <c r="B200" i="10"/>
  <c r="B434" i="10"/>
  <c r="B402" i="10"/>
  <c r="B176" i="10"/>
  <c r="B376" i="10"/>
  <c r="B410" i="10"/>
  <c r="B400" i="10"/>
  <c r="B274" i="10"/>
  <c r="B339" i="10"/>
  <c r="B223" i="10"/>
  <c r="B284" i="10"/>
  <c r="B278" i="10"/>
  <c r="B246" i="10"/>
  <c r="B385" i="10"/>
  <c r="B262" i="10"/>
  <c r="B191" i="10"/>
  <c r="B276" i="10"/>
  <c r="B329" i="10"/>
  <c r="B159" i="10"/>
  <c r="B221" i="10"/>
  <c r="B389" i="10"/>
  <c r="B213" i="10"/>
  <c r="B229" i="10"/>
  <c r="B206" i="10"/>
  <c r="B185" i="10"/>
  <c r="B327" i="10"/>
  <c r="B155" i="10"/>
  <c r="B380" i="10"/>
  <c r="B189" i="10"/>
  <c r="B353" i="10"/>
  <c r="B343" i="10"/>
  <c r="B183" i="10"/>
  <c r="B250" i="10"/>
  <c r="B178" i="10"/>
  <c r="B282" i="10"/>
  <c r="B161" i="10"/>
  <c r="B270" i="10"/>
  <c r="B372" i="10"/>
  <c r="B355" i="10"/>
  <c r="B378" i="10"/>
  <c r="B393" i="10"/>
  <c r="B432" i="10"/>
  <c r="B204" i="10"/>
  <c r="B331" i="10"/>
  <c r="B264" i="10"/>
  <c r="B404" i="10"/>
  <c r="B406" i="10"/>
  <c r="B420" i="10"/>
  <c r="B174" i="10"/>
  <c r="B215" i="10"/>
  <c r="B294" i="10"/>
  <c r="B335" i="10"/>
  <c r="B317" i="10"/>
  <c r="B298" i="10"/>
  <c r="B438" i="10"/>
  <c r="B418" i="10"/>
  <c r="B370" i="10"/>
  <c r="B231" i="10"/>
  <c r="B391" i="10"/>
  <c r="B387" i="10"/>
  <c r="B359" i="10"/>
  <c r="B307" i="10"/>
  <c r="B254" i="10"/>
  <c r="B309" i="10"/>
  <c r="B248" i="10"/>
  <c r="B266" i="10"/>
  <c r="B280" i="10"/>
  <c r="B351" i="10"/>
  <c r="B233" i="10"/>
  <c r="B217" i="10"/>
  <c r="B440" i="10"/>
  <c r="B395" i="10"/>
  <c r="B341" i="10"/>
  <c r="B153" i="10"/>
  <c r="B292" i="10"/>
  <c r="B323" i="10"/>
  <c r="B163" i="10"/>
  <c r="B315" i="10"/>
  <c r="B311" i="10"/>
  <c r="B260" i="10"/>
  <c r="B325" i="10"/>
  <c r="B219" i="10"/>
  <c r="B172" i="10"/>
  <c r="B424" i="10"/>
  <c r="B252" i="10"/>
  <c r="B422" i="10"/>
  <c r="B208" i="10"/>
  <c r="B187" i="10"/>
  <c r="B313" i="10"/>
  <c r="B337" i="10"/>
  <c r="B193" i="10"/>
  <c r="B256" i="10"/>
  <c r="B227" i="10"/>
  <c r="B168" i="10"/>
  <c r="B170" i="10"/>
  <c r="B357" i="10"/>
  <c r="B235" i="10"/>
</calcChain>
</file>

<file path=xl/sharedStrings.xml><?xml version="1.0" encoding="utf-8"?>
<sst xmlns="http://schemas.openxmlformats.org/spreadsheetml/2006/main" count="2877" uniqueCount="950">
  <si>
    <t>シングルスカル</t>
    <phoneticPr fontId="2"/>
  </si>
  <si>
    <t>ダブルスカル</t>
    <phoneticPr fontId="2"/>
  </si>
  <si>
    <t>レーン</t>
    <phoneticPr fontId="2"/>
  </si>
  <si>
    <t>ダブルスカル</t>
    <phoneticPr fontId="2"/>
  </si>
  <si>
    <t>クルー</t>
    <phoneticPr fontId="2"/>
  </si>
  <si>
    <t>シート</t>
    <phoneticPr fontId="2"/>
  </si>
  <si>
    <t>Ｂ</t>
    <phoneticPr fontId="2"/>
  </si>
  <si>
    <t>Ｃ</t>
    <phoneticPr fontId="2"/>
  </si>
  <si>
    <t>Ｓ</t>
    <phoneticPr fontId="2"/>
  </si>
  <si>
    <t>４×＋</t>
    <phoneticPr fontId="2"/>
  </si>
  <si>
    <t>１×</t>
    <phoneticPr fontId="2"/>
  </si>
  <si>
    <t>シングルスカル</t>
    <phoneticPr fontId="2"/>
  </si>
  <si>
    <t>２×</t>
    <phoneticPr fontId="2"/>
  </si>
  <si>
    <t>ダブルスカル</t>
    <phoneticPr fontId="2"/>
  </si>
  <si>
    <t>４×＋</t>
    <phoneticPr fontId="2"/>
  </si>
  <si>
    <t>女子2×</t>
    <rPh sb="0" eb="1">
      <t>オンナ</t>
    </rPh>
    <rPh sb="1" eb="2">
      <t>ダンシ</t>
    </rPh>
    <phoneticPr fontId="2"/>
  </si>
  <si>
    <t>クルー</t>
  </si>
  <si>
    <t>選　　手</t>
  </si>
  <si>
    <t>選　　手</t>
    <rPh sb="0" eb="4">
      <t>センシュ</t>
    </rPh>
    <phoneticPr fontId="2"/>
  </si>
  <si>
    <t>氏　　名</t>
  </si>
  <si>
    <t>氏　　名</t>
    <rPh sb="0" eb="4">
      <t>シメイ</t>
    </rPh>
    <phoneticPr fontId="2"/>
  </si>
  <si>
    <t>監督</t>
  </si>
  <si>
    <t>シート</t>
  </si>
  <si>
    <t>学年</t>
  </si>
  <si>
    <t>Ｓ</t>
  </si>
  <si>
    <t>男子2×</t>
    <rPh sb="0" eb="2">
      <t>ダンシ</t>
    </rPh>
    <phoneticPr fontId="2"/>
  </si>
  <si>
    <t>Ｂ</t>
  </si>
  <si>
    <t>補欠</t>
  </si>
  <si>
    <t>男子１×</t>
    <rPh sb="0" eb="2">
      <t>ダンシ</t>
    </rPh>
    <phoneticPr fontId="2"/>
  </si>
  <si>
    <t>Ｓ</t>
    <phoneticPr fontId="2"/>
  </si>
  <si>
    <t>クルー</t>
    <phoneticPr fontId="2"/>
  </si>
  <si>
    <t>Ｓ</t>
    <phoneticPr fontId="2"/>
  </si>
  <si>
    <t>Ｂ</t>
    <phoneticPr fontId="2"/>
  </si>
  <si>
    <t>補欠</t>
    <rPh sb="0" eb="2">
      <t>ホケツ</t>
    </rPh>
    <phoneticPr fontId="2"/>
  </si>
  <si>
    <t>Ｂ</t>
    <phoneticPr fontId="2"/>
  </si>
  <si>
    <t>Ｃ</t>
    <phoneticPr fontId="2"/>
  </si>
  <si>
    <t>２×</t>
    <phoneticPr fontId="2"/>
  </si>
  <si>
    <t>１×</t>
    <phoneticPr fontId="2"/>
  </si>
  <si>
    <t>女子４×＋</t>
    <rPh sb="0" eb="1">
      <t>オンナ</t>
    </rPh>
    <rPh sb="1" eb="2">
      <t>ダンシ</t>
    </rPh>
    <phoneticPr fontId="2"/>
  </si>
  <si>
    <t>Ｃ</t>
  </si>
  <si>
    <t>Ｃ</t>
    <phoneticPr fontId="2"/>
  </si>
  <si>
    <t>Ｎ０</t>
    <phoneticPr fontId="2"/>
  </si>
  <si>
    <t>シート</t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</si>
  <si>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</si>
  <si>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</si>
  <si>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</si>
  <si>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監督</t>
    <rPh sb="0" eb="2">
      <t>カントク</t>
    </rPh>
    <phoneticPr fontId="2"/>
  </si>
  <si>
    <t>補欠</t>
    <rPh sb="0" eb="2">
      <t>ホケツ</t>
    </rPh>
    <phoneticPr fontId="2"/>
  </si>
  <si>
    <t>男子４×＋</t>
    <rPh sb="0" eb="2">
      <t>ダンシ</t>
    </rPh>
    <phoneticPr fontId="2"/>
  </si>
  <si>
    <t>女子１×</t>
    <rPh sb="0" eb="1">
      <t>オンナ</t>
    </rPh>
    <rPh sb="1" eb="2">
      <t>ダンシ</t>
    </rPh>
    <phoneticPr fontId="2"/>
  </si>
  <si>
    <t>シングルスカル</t>
    <phoneticPr fontId="2"/>
  </si>
  <si>
    <t>クルー</t>
    <phoneticPr fontId="2"/>
  </si>
  <si>
    <t>レーン</t>
    <phoneticPr fontId="2"/>
  </si>
  <si>
    <t>決勝</t>
    <rPh sb="0" eb="2">
      <t>ケッショウ</t>
    </rPh>
    <phoneticPr fontId="2"/>
  </si>
  <si>
    <t>女子シングルスカル</t>
    <rPh sb="0" eb="2">
      <t>ジョシ</t>
    </rPh>
    <phoneticPr fontId="2"/>
  </si>
  <si>
    <t>男子シングルスカル</t>
    <rPh sb="0" eb="2">
      <t>ダンシ</t>
    </rPh>
    <phoneticPr fontId="2"/>
  </si>
  <si>
    <t>男子ダブルスカル</t>
    <rPh sb="0" eb="2">
      <t>ダンシ</t>
    </rPh>
    <phoneticPr fontId="2"/>
  </si>
  <si>
    <t>予選</t>
    <rPh sb="0" eb="2">
      <t>ヨセン</t>
    </rPh>
    <phoneticPr fontId="2"/>
  </si>
  <si>
    <t>各高校出漕クルー一覧</t>
    <rPh sb="0" eb="1">
      <t>カクコウ</t>
    </rPh>
    <rPh sb="1" eb="3">
      <t>コウコウ</t>
    </rPh>
    <rPh sb="3" eb="4">
      <t>シュツ</t>
    </rPh>
    <rPh sb="4" eb="5">
      <t>ソウ</t>
    </rPh>
    <rPh sb="8" eb="10">
      <t>イチラン</t>
    </rPh>
    <phoneticPr fontId="2"/>
  </si>
  <si>
    <t>高校名</t>
    <rPh sb="0" eb="3">
      <t>コウコウメイ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</si>
  <si>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</si>
  <si>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</si>
  <si>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沼津東</t>
    <rPh sb="0" eb="2">
      <t>ヌマヅ</t>
    </rPh>
    <rPh sb="2" eb="3">
      <t>ヒガシ</t>
    </rPh>
    <phoneticPr fontId="2"/>
  </si>
  <si>
    <t>浜松北</t>
    <rPh sb="0" eb="2">
      <t>ハママツ</t>
    </rPh>
    <rPh sb="2" eb="3">
      <t>キタ</t>
    </rPh>
    <phoneticPr fontId="2"/>
  </si>
  <si>
    <t>浜松西</t>
    <rPh sb="0" eb="2">
      <t>ハママツ</t>
    </rPh>
    <rPh sb="2" eb="3">
      <t>ニシ</t>
    </rPh>
    <phoneticPr fontId="2"/>
  </si>
  <si>
    <t>浜松湖南</t>
    <rPh sb="0" eb="2">
      <t>ハママツ</t>
    </rPh>
    <rPh sb="2" eb="3">
      <t>コ</t>
    </rPh>
    <rPh sb="3" eb="4">
      <t>ナン</t>
    </rPh>
    <phoneticPr fontId="2"/>
  </si>
  <si>
    <t>湖西</t>
    <rPh sb="0" eb="2">
      <t>コサイ</t>
    </rPh>
    <phoneticPr fontId="2"/>
  </si>
  <si>
    <t>新居</t>
    <rPh sb="0" eb="2">
      <t>アライ</t>
    </rPh>
    <phoneticPr fontId="2"/>
  </si>
  <si>
    <t>出漕合計</t>
    <rPh sb="0" eb="1">
      <t>シュッソウ</t>
    </rPh>
    <rPh sb="1" eb="2">
      <t>ソウ</t>
    </rPh>
    <rPh sb="2" eb="4">
      <t>ゴウケイ</t>
    </rPh>
    <phoneticPr fontId="2"/>
  </si>
  <si>
    <t>舵手付きクォドルプル</t>
    <rPh sb="0" eb="2">
      <t>ダシュ</t>
    </rPh>
    <rPh sb="2" eb="3">
      <t>ツ</t>
    </rPh>
    <phoneticPr fontId="2"/>
  </si>
  <si>
    <t>競　　　漕　　　組　　　合　　　せ</t>
    <rPh sb="0" eb="5">
      <t>キョウソウ</t>
    </rPh>
    <rPh sb="8" eb="13">
      <t>クミアワ</t>
    </rPh>
    <phoneticPr fontId="2"/>
  </si>
  <si>
    <t>【男子】</t>
    <rPh sb="1" eb="3">
      <t>ダンシ</t>
    </rPh>
    <phoneticPr fontId="2"/>
  </si>
  <si>
    <t>クルー</t>
    <phoneticPr fontId="2"/>
  </si>
  <si>
    <t>【女子】</t>
    <rPh sb="1" eb="2">
      <t>オンナ</t>
    </rPh>
    <rPh sb="2" eb="3">
      <t>ダンシ</t>
    </rPh>
    <phoneticPr fontId="2"/>
  </si>
  <si>
    <t>競　　　　漕　　　　組　　　　合　　　　せ</t>
    <rPh sb="0" eb="6">
      <t>キョウソウ</t>
    </rPh>
    <rPh sb="10" eb="16">
      <t>クミアワ</t>
    </rPh>
    <phoneticPr fontId="2"/>
  </si>
  <si>
    <t>【男子】</t>
    <rPh sb="1" eb="2">
      <t>ダン</t>
    </rPh>
    <rPh sb="2" eb="3">
      <t>ダンシ</t>
    </rPh>
    <phoneticPr fontId="2"/>
  </si>
  <si>
    <t>レーン</t>
    <phoneticPr fontId="2"/>
  </si>
  <si>
    <t>選　　　　手　　　　名　　　　簿</t>
    <rPh sb="0" eb="6">
      <t>センシュ</t>
    </rPh>
    <rPh sb="10" eb="16">
      <t>メイボ</t>
    </rPh>
    <phoneticPr fontId="2"/>
  </si>
  <si>
    <t>【男子シングルスカル】</t>
    <rPh sb="1" eb="3">
      <t>ダンシ</t>
    </rPh>
    <phoneticPr fontId="2"/>
  </si>
  <si>
    <t>【女子シングルスカル】</t>
    <rPh sb="1" eb="3">
      <t>ジョシ</t>
    </rPh>
    <phoneticPr fontId="2"/>
  </si>
  <si>
    <t>【女子ダブルスカル】</t>
    <rPh sb="1" eb="2">
      <t>オンナ</t>
    </rPh>
    <rPh sb="2" eb="3">
      <t>ジョシ</t>
    </rPh>
    <phoneticPr fontId="2"/>
  </si>
  <si>
    <t>【男子舵手付きクォドルプル】</t>
    <rPh sb="1" eb="2">
      <t>ダン</t>
    </rPh>
    <rPh sb="2" eb="3">
      <t>ジョシ</t>
    </rPh>
    <rPh sb="3" eb="5">
      <t>ダシュ</t>
    </rPh>
    <rPh sb="5" eb="6">
      <t>ツ</t>
    </rPh>
    <phoneticPr fontId="2"/>
  </si>
  <si>
    <t>【女子舵手付きクォドルプル】</t>
    <rPh sb="1" eb="2">
      <t>オンナ</t>
    </rPh>
    <rPh sb="2" eb="3">
      <t>ジョシ</t>
    </rPh>
    <rPh sb="3" eb="5">
      <t>ダシュ</t>
    </rPh>
    <rPh sb="5" eb="6">
      <t>ツ</t>
    </rPh>
    <phoneticPr fontId="2"/>
  </si>
  <si>
    <t>浜松大平台</t>
    <rPh sb="0" eb="2">
      <t>ハママツ</t>
    </rPh>
    <rPh sb="2" eb="5">
      <t>オオヒラダイ</t>
    </rPh>
    <phoneticPr fontId="2"/>
  </si>
  <si>
    <t>１組</t>
    <rPh sb="1" eb="2">
      <t>クミ</t>
    </rPh>
    <phoneticPr fontId="2"/>
  </si>
  <si>
    <t>２組</t>
    <rPh sb="1" eb="2">
      <t>クミ</t>
    </rPh>
    <phoneticPr fontId="2"/>
  </si>
  <si>
    <t>３組</t>
    <rPh sb="1" eb="2">
      <t>クミ</t>
    </rPh>
    <phoneticPr fontId="2"/>
  </si>
  <si>
    <t>４組</t>
    <rPh sb="1" eb="2">
      <t>クミ</t>
    </rPh>
    <phoneticPr fontId="2"/>
  </si>
  <si>
    <t>５組</t>
    <rPh sb="1" eb="2">
      <t>クミ</t>
    </rPh>
    <phoneticPr fontId="2"/>
  </si>
  <si>
    <t>Ｃ</t>
    <phoneticPr fontId="2"/>
  </si>
  <si>
    <t>Ｓ</t>
    <phoneticPr fontId="2"/>
  </si>
  <si>
    <t>Ｂ</t>
    <phoneticPr fontId="2"/>
  </si>
  <si>
    <t>Ｓ</t>
    <phoneticPr fontId="2"/>
  </si>
  <si>
    <t>Ｂ</t>
    <phoneticPr fontId="2"/>
  </si>
  <si>
    <t>Ｓ</t>
    <phoneticPr fontId="2"/>
  </si>
  <si>
    <t>Ｂ</t>
    <phoneticPr fontId="2"/>
  </si>
  <si>
    <t>Ｂ</t>
    <phoneticPr fontId="2"/>
  </si>
  <si>
    <t>Ｂ</t>
    <phoneticPr fontId="2"/>
  </si>
  <si>
    <t>《審判長注意》</t>
  </si>
  <si>
    <t>１組　</t>
    <rPh sb="1" eb="2">
      <t>クミ</t>
    </rPh>
    <phoneticPr fontId="2"/>
  </si>
  <si>
    <t>天竜</t>
    <rPh sb="0" eb="2">
      <t>テンリュウ</t>
    </rPh>
    <phoneticPr fontId="2"/>
  </si>
  <si>
    <t>沼津工</t>
    <rPh sb="0" eb="2">
      <t>ヌマヅコウ</t>
    </rPh>
    <rPh sb="2" eb="3">
      <t>コウ</t>
    </rPh>
    <phoneticPr fontId="2"/>
  </si>
  <si>
    <t>セイ</t>
    <phoneticPr fontId="2"/>
  </si>
  <si>
    <t>メイ</t>
    <phoneticPr fontId="2"/>
  </si>
  <si>
    <t>メイ</t>
    <phoneticPr fontId="2"/>
  </si>
  <si>
    <t>【男子ダブルスカル】</t>
    <rPh sb="1" eb="3">
      <t>ダンシ</t>
    </rPh>
    <phoneticPr fontId="2"/>
  </si>
  <si>
    <t>A</t>
  </si>
  <si>
    <t>B</t>
  </si>
  <si>
    <t>氏</t>
    <rPh sb="0" eb="1">
      <t>シ</t>
    </rPh>
    <phoneticPr fontId="2"/>
  </si>
  <si>
    <t>名</t>
    <rPh sb="0" eb="1">
      <t>メイ</t>
    </rPh>
    <phoneticPr fontId="2"/>
  </si>
  <si>
    <t>監</t>
    <rPh sb="0" eb="1">
      <t>ラン</t>
    </rPh>
    <phoneticPr fontId="2"/>
  </si>
  <si>
    <t>督</t>
  </si>
  <si>
    <t>選手</t>
    <rPh sb="0" eb="2">
      <t>センシュ</t>
    </rPh>
    <phoneticPr fontId="2"/>
  </si>
  <si>
    <t>氏名</t>
    <rPh sb="0" eb="2">
      <t>シメイ</t>
    </rPh>
    <phoneticPr fontId="2"/>
  </si>
  <si>
    <t>各クルーは、健康管理に十分注意を払い、万全の状態でレースに参加できるよう心がけること。</t>
    <rPh sb="0" eb="1">
      <t>カク</t>
    </rPh>
    <rPh sb="6" eb="8">
      <t>ケンコウ</t>
    </rPh>
    <rPh sb="8" eb="10">
      <t>カンリ</t>
    </rPh>
    <rPh sb="11" eb="13">
      <t>ジュウブン</t>
    </rPh>
    <rPh sb="13" eb="15">
      <t>チュウイ</t>
    </rPh>
    <rPh sb="16" eb="17">
      <t>ハラ</t>
    </rPh>
    <rPh sb="19" eb="21">
      <t>バンゼン</t>
    </rPh>
    <rPh sb="22" eb="24">
      <t>ジョウタイ</t>
    </rPh>
    <rPh sb="29" eb="31">
      <t>サンカ</t>
    </rPh>
    <rPh sb="36" eb="37">
      <t>ココロ</t>
    </rPh>
    <phoneticPr fontId="2"/>
  </si>
  <si>
    <t>各クルーは、事故のないよう常に安全確保に努め、安全第一で行動すること。</t>
    <rPh sb="0" eb="1">
      <t>カク</t>
    </rPh>
    <rPh sb="6" eb="8">
      <t>ジコ</t>
    </rPh>
    <rPh sb="13" eb="14">
      <t>ツネ</t>
    </rPh>
    <rPh sb="15" eb="17">
      <t>アンゼン</t>
    </rPh>
    <rPh sb="17" eb="19">
      <t>カクホ</t>
    </rPh>
    <rPh sb="20" eb="21">
      <t>ツト</t>
    </rPh>
    <rPh sb="23" eb="25">
      <t>アンゼン</t>
    </rPh>
    <rPh sb="25" eb="27">
      <t>ダイイチ</t>
    </rPh>
    <rPh sb="28" eb="30">
      <t>コウドウ</t>
    </rPh>
    <phoneticPr fontId="2"/>
  </si>
  <si>
    <t>舵手の計量は、出漕日かつ出漕種目毎に各自の最初のレースの2時間前から1時間前までに</t>
    <rPh sb="7" eb="9">
      <t>シュッソウ</t>
    </rPh>
    <rPh sb="9" eb="10">
      <t>ビ</t>
    </rPh>
    <rPh sb="12" eb="14">
      <t>シュッソウ</t>
    </rPh>
    <rPh sb="14" eb="16">
      <t>シュモク</t>
    </rPh>
    <rPh sb="16" eb="17">
      <t>マイ</t>
    </rPh>
    <rPh sb="18" eb="20">
      <t>カクジ</t>
    </rPh>
    <rPh sb="21" eb="23">
      <t>サイショ</t>
    </rPh>
    <phoneticPr fontId="2"/>
  </si>
  <si>
    <t>（競漕規則第25条）</t>
    <phoneticPr fontId="2"/>
  </si>
  <si>
    <t>アンダーシャツ、タイツ等も統一すること。帽子・はちまきについては、クルー内の選手毎に自由だが、</t>
    <phoneticPr fontId="2"/>
  </si>
  <si>
    <t>着用する選手については必ず統一したものを着用すること。</t>
    <rPh sb="0" eb="2">
      <t>チャクヨウ</t>
    </rPh>
    <rPh sb="4" eb="6">
      <t>センシュ</t>
    </rPh>
    <rPh sb="11" eb="12">
      <t>カナラ</t>
    </rPh>
    <rPh sb="13" eb="15">
      <t>トウイツ</t>
    </rPh>
    <phoneticPr fontId="2"/>
  </si>
  <si>
    <t>艇の故障等の事態が生じて間に合わない恐れがある場合は、必ず最寄りの審判員に申し出ること。</t>
    <rPh sb="0" eb="1">
      <t>テイ</t>
    </rPh>
    <rPh sb="2" eb="4">
      <t>コショウ</t>
    </rPh>
    <rPh sb="4" eb="5">
      <t>トウ</t>
    </rPh>
    <rPh sb="6" eb="8">
      <t>ジタイ</t>
    </rPh>
    <rPh sb="9" eb="10">
      <t>ショウ</t>
    </rPh>
    <rPh sb="12" eb="13">
      <t>マ</t>
    </rPh>
    <rPh sb="14" eb="15">
      <t>ア</t>
    </rPh>
    <rPh sb="18" eb="19">
      <t>オソ</t>
    </rPh>
    <rPh sb="23" eb="25">
      <t>バアイ</t>
    </rPh>
    <rPh sb="27" eb="28">
      <t>カナラ</t>
    </rPh>
    <rPh sb="29" eb="31">
      <t>モヨ</t>
    </rPh>
    <rPh sb="33" eb="36">
      <t>シンパンイン</t>
    </rPh>
    <rPh sb="37" eb="38">
      <t>モウ</t>
    </rPh>
    <rPh sb="39" eb="40">
      <t>デ</t>
    </rPh>
    <phoneticPr fontId="2"/>
  </si>
  <si>
    <t>（競漕規則第36条）</t>
    <phoneticPr fontId="2"/>
  </si>
  <si>
    <t>クイックスタートでスタートする場合　　　「クイックスタート」→「アテンション」→発艇旗をあげ→</t>
    <phoneticPr fontId="2"/>
  </si>
  <si>
    <t>いかなるクルーも定員を欠いて競漕に参加することはできない。舵手付きクォドルプルのコックスを</t>
    <phoneticPr fontId="2"/>
  </si>
  <si>
    <t>シード</t>
    <phoneticPr fontId="2"/>
  </si>
  <si>
    <t>シード</t>
    <phoneticPr fontId="2"/>
  </si>
  <si>
    <t>敗者復活</t>
    <rPh sb="0" eb="2">
      <t>ハイシャ</t>
    </rPh>
    <rPh sb="2" eb="4">
      <t>フッカツ</t>
    </rPh>
    <phoneticPr fontId="2"/>
  </si>
  <si>
    <t>準決勝</t>
    <rPh sb="0" eb="3">
      <t>ジュンケッショウ</t>
    </rPh>
    <phoneticPr fontId="2"/>
  </si>
  <si>
    <t>１組</t>
    <rPh sb="1" eb="2">
      <t>グミ</t>
    </rPh>
    <phoneticPr fontId="2"/>
  </si>
  <si>
    <t>２組</t>
    <rPh sb="1" eb="2">
      <t>グミ</t>
    </rPh>
    <phoneticPr fontId="2"/>
  </si>
  <si>
    <t>レーン</t>
    <phoneticPr fontId="2"/>
  </si>
  <si>
    <t>レーン</t>
    <phoneticPr fontId="2"/>
  </si>
  <si>
    <t>C</t>
    <phoneticPr fontId="2"/>
  </si>
  <si>
    <t>B</t>
    <phoneticPr fontId="2"/>
  </si>
  <si>
    <t>予1-1</t>
    <rPh sb="0" eb="1">
      <t>ヨ</t>
    </rPh>
    <phoneticPr fontId="2"/>
  </si>
  <si>
    <t>予1-2</t>
    <rPh sb="0" eb="1">
      <t>ヨ</t>
    </rPh>
    <phoneticPr fontId="2"/>
  </si>
  <si>
    <t>予2-1</t>
    <rPh sb="0" eb="1">
      <t>ヨ</t>
    </rPh>
    <phoneticPr fontId="2"/>
  </si>
  <si>
    <t>予2-2</t>
    <rPh sb="0" eb="1">
      <t>ヨ</t>
    </rPh>
    <phoneticPr fontId="2"/>
  </si>
  <si>
    <t>敗1-1</t>
    <rPh sb="0" eb="1">
      <t>ハイ</t>
    </rPh>
    <phoneticPr fontId="2"/>
  </si>
  <si>
    <t>敗1-2</t>
    <rPh sb="0" eb="1">
      <t>ハイ</t>
    </rPh>
    <phoneticPr fontId="2"/>
  </si>
  <si>
    <t>予3-1</t>
    <rPh sb="0" eb="1">
      <t>ヨ</t>
    </rPh>
    <phoneticPr fontId="2"/>
  </si>
  <si>
    <t>敗1</t>
    <rPh sb="0" eb="1">
      <t>ハイ</t>
    </rPh>
    <phoneticPr fontId="2"/>
  </si>
  <si>
    <t>敗2</t>
    <rPh sb="0" eb="1">
      <t>ハイ</t>
    </rPh>
    <phoneticPr fontId="2"/>
  </si>
  <si>
    <t>準3-2</t>
    <rPh sb="0" eb="1">
      <t>ジュン</t>
    </rPh>
    <phoneticPr fontId="2"/>
  </si>
  <si>
    <t>予1</t>
    <rPh sb="0" eb="1">
      <t>ヨ</t>
    </rPh>
    <phoneticPr fontId="2"/>
  </si>
  <si>
    <t>予2</t>
    <rPh sb="0" eb="1">
      <t>ヨ</t>
    </rPh>
    <phoneticPr fontId="2"/>
  </si>
  <si>
    <t>予選</t>
    <rPh sb="0" eb="2">
      <t>ヨセン</t>
    </rPh>
    <phoneticPr fontId="2"/>
  </si>
  <si>
    <t>決勝</t>
    <rPh sb="0" eb="2">
      <t>ケッショウ</t>
    </rPh>
    <phoneticPr fontId="2"/>
  </si>
  <si>
    <t>メンバー変更・棄権については、レース１時間前までに文章で競漕委員会に届けること。</t>
    <phoneticPr fontId="2"/>
  </si>
  <si>
    <t>競漕委員会があらかじめ指定した場所ですませること。女子種目は50㎏・男子種目は55㎏以上。</t>
    <rPh sb="0" eb="2">
      <t>キョウソウ</t>
    </rPh>
    <rPh sb="2" eb="5">
      <t>イインカイ</t>
    </rPh>
    <rPh sb="11" eb="13">
      <t>シテイ</t>
    </rPh>
    <rPh sb="15" eb="17">
      <t>バショ</t>
    </rPh>
    <rPh sb="27" eb="29">
      <t>シュモク</t>
    </rPh>
    <rPh sb="36" eb="38">
      <t>シュモク</t>
    </rPh>
    <phoneticPr fontId="2"/>
  </si>
  <si>
    <t>定められた時間内に計量を受けなかったクルーは失格となる。</t>
    <rPh sb="0" eb="1">
      <t>サダ</t>
    </rPh>
    <rPh sb="5" eb="7">
      <t>ジカン</t>
    </rPh>
    <rPh sb="7" eb="8">
      <t>ナイ</t>
    </rPh>
    <rPh sb="9" eb="11">
      <t>ケイリョウ</t>
    </rPh>
    <rPh sb="12" eb="13">
      <t>ウ</t>
    </rPh>
    <rPh sb="22" eb="24">
      <t>シッカク</t>
    </rPh>
    <phoneticPr fontId="2"/>
  </si>
  <si>
    <t>男子種目は男子舵手、女子種目は女子舵手とする。</t>
    <rPh sb="0" eb="2">
      <t>ダンシ</t>
    </rPh>
    <rPh sb="2" eb="4">
      <t>シュモク</t>
    </rPh>
    <rPh sb="5" eb="7">
      <t>ダンシ</t>
    </rPh>
    <rPh sb="7" eb="9">
      <t>ダシュ</t>
    </rPh>
    <rPh sb="10" eb="12">
      <t>ジョシ</t>
    </rPh>
    <rPh sb="12" eb="14">
      <t>シュモク</t>
    </rPh>
    <rPh sb="15" eb="17">
      <t>ジョシ</t>
    </rPh>
    <rPh sb="17" eb="19">
      <t>ダシュ</t>
    </rPh>
    <phoneticPr fontId="2"/>
  </si>
  <si>
    <t>（大会要項）</t>
    <rPh sb="1" eb="3">
      <t>タイカイ</t>
    </rPh>
    <rPh sb="3" eb="5">
      <t>ヨウコウ</t>
    </rPh>
    <phoneticPr fontId="2"/>
  </si>
  <si>
    <t>レース中、回漕するクルーは競漕水域の外側で、レースの100ｍ手前からレース艇が通過するまで</t>
    <rPh sb="3" eb="4">
      <t>チュウ</t>
    </rPh>
    <rPh sb="37" eb="38">
      <t>テイ</t>
    </rPh>
    <phoneticPr fontId="2"/>
  </si>
  <si>
    <t>停止していなければならない。これに違反したクルーにはイエローカードが与えられる。</t>
    <rPh sb="0" eb="2">
      <t>テイシ</t>
    </rPh>
    <phoneticPr fontId="2"/>
  </si>
  <si>
    <t>（競漕規則第35条細則、大会要項）</t>
    <rPh sb="9" eb="11">
      <t>サイソク</t>
    </rPh>
    <rPh sb="12" eb="14">
      <t>タイカイ</t>
    </rPh>
    <rPh sb="14" eb="16">
      <t>ヨウコウ</t>
    </rPh>
    <phoneticPr fontId="2"/>
  </si>
  <si>
    <t>クルーは、発艇（スタート）定刻２分前までにスタート位置に着かなければならない。</t>
    <rPh sb="25" eb="27">
      <t>イチ</t>
    </rPh>
    <phoneticPr fontId="2"/>
  </si>
  <si>
    <t>これに違反したクルーは、発艇員よりイエローカードを与えられる。</t>
    <rPh sb="3" eb="5">
      <t>イハン</t>
    </rPh>
    <rPh sb="12" eb="13">
      <t>ハツ</t>
    </rPh>
    <rPh sb="13" eb="14">
      <t>テイ</t>
    </rPh>
    <rPh sb="14" eb="15">
      <t>イン</t>
    </rPh>
    <rPh sb="25" eb="26">
      <t>アタ</t>
    </rPh>
    <phoneticPr fontId="2"/>
  </si>
  <si>
    <t>コースに入る際は、発艇員の呼込み後に入ること。</t>
    <rPh sb="13" eb="14">
      <t>ヨ</t>
    </rPh>
    <rPh sb="14" eb="15">
      <t>コ</t>
    </rPh>
    <phoneticPr fontId="2"/>
  </si>
  <si>
    <t>レース中、各クルーは自己のレーンを漕行しなれけばならない。他のレーンを侵害し、接触または</t>
    <rPh sb="17" eb="18">
      <t>ソウ</t>
    </rPh>
    <rPh sb="18" eb="19">
      <t>ギョウ</t>
    </rPh>
    <rPh sb="39" eb="41">
      <t>セッショク</t>
    </rPh>
    <phoneticPr fontId="2"/>
  </si>
  <si>
    <t>妨害をしてはならない。</t>
    <rPh sb="0" eb="2">
      <t>ボウガイ</t>
    </rPh>
    <phoneticPr fontId="2"/>
  </si>
  <si>
    <t>主審は、他艇を妨害する危険のある場合、または接触・衝突を起こす危険のある場合には、</t>
    <rPh sb="25" eb="27">
      <t>ショウトツ</t>
    </rPh>
    <rPh sb="28" eb="29">
      <t>オ</t>
    </rPh>
    <phoneticPr fontId="2"/>
  </si>
  <si>
    <t>欠いてフィニッシュラインに到達したクルーは失格となる。</t>
    <rPh sb="13" eb="15">
      <t>トウタツ</t>
    </rPh>
    <rPh sb="21" eb="23">
      <t>シッカク</t>
    </rPh>
    <phoneticPr fontId="2"/>
  </si>
  <si>
    <t>漕手が、落水後自力で乗艇し、フィニッシュラインに到達した場合には着順を認める。</t>
    <rPh sb="24" eb="26">
      <t>トウタツ</t>
    </rPh>
    <rPh sb="28" eb="30">
      <t>バアイ</t>
    </rPh>
    <phoneticPr fontId="2"/>
  </si>
  <si>
    <t>（競漕規則第57条）</t>
    <phoneticPr fontId="2"/>
  </si>
  <si>
    <t>レースに関する、クルーから審判に対しての異議申立は、当該審判（第一段階）、</t>
    <rPh sb="31" eb="32">
      <t>ダイ</t>
    </rPh>
    <rPh sb="32" eb="33">
      <t>イチ</t>
    </rPh>
    <rPh sb="33" eb="35">
      <t>ダンカイ</t>
    </rPh>
    <phoneticPr fontId="2"/>
  </si>
  <si>
    <t>不服審査委員会（第二段階）、裁定委員会（第三段階）の順とする。</t>
    <rPh sb="14" eb="16">
      <t>サイテイ</t>
    </rPh>
    <rPh sb="16" eb="19">
      <t>イインカイ</t>
    </rPh>
    <rPh sb="20" eb="21">
      <t>ダイ</t>
    </rPh>
    <rPh sb="21" eb="22">
      <t>サン</t>
    </rPh>
    <rPh sb="22" eb="24">
      <t>ダンカイ</t>
    </rPh>
    <rPh sb="26" eb="27">
      <t>ジュン</t>
    </rPh>
    <phoneticPr fontId="2"/>
  </si>
  <si>
    <t>イエローカードが与えられるケース</t>
    <phoneticPr fontId="2"/>
  </si>
  <si>
    <t>・航行（トラフィック）ルールに違反した場合 《航行ルール図参照》</t>
    <rPh sb="19" eb="21">
      <t>バアイ</t>
    </rPh>
    <phoneticPr fontId="2"/>
  </si>
  <si>
    <t>・ レース中、回漕クルーは競漕水域の外側でレースの100メートル手前からレース艇が通過するまで</t>
    <rPh sb="5" eb="6">
      <t>チュウ</t>
    </rPh>
    <rPh sb="7" eb="9">
      <t>カイソウ</t>
    </rPh>
    <rPh sb="13" eb="15">
      <t>キョウソウ</t>
    </rPh>
    <rPh sb="15" eb="17">
      <t>スイイキ</t>
    </rPh>
    <rPh sb="18" eb="20">
      <t>ソトガワ</t>
    </rPh>
    <rPh sb="32" eb="34">
      <t>テマエ</t>
    </rPh>
    <rPh sb="39" eb="40">
      <t>テイ</t>
    </rPh>
    <rPh sb="41" eb="43">
      <t>ツウカ</t>
    </rPh>
    <phoneticPr fontId="2"/>
  </si>
  <si>
    <t xml:space="preserve"> 停止していないとき</t>
    <rPh sb="1" eb="3">
      <t>テイシ</t>
    </rPh>
    <phoneticPr fontId="2"/>
  </si>
  <si>
    <t>・発艇（スタート）定刻２分前に、所定のスタート位置に着くことができない場合</t>
    <rPh sb="9" eb="11">
      <t>テイコク</t>
    </rPh>
    <rPh sb="16" eb="18">
      <t>ショテイ</t>
    </rPh>
    <rPh sb="26" eb="27">
      <t>ツ</t>
    </rPh>
    <rPh sb="35" eb="37">
      <t>バアイ</t>
    </rPh>
    <phoneticPr fontId="2"/>
  </si>
  <si>
    <t>・フォルススタートをした場合</t>
    <rPh sb="12" eb="14">
      <t>バアイ</t>
    </rPh>
    <phoneticPr fontId="2"/>
  </si>
  <si>
    <t>（競漕規則第40条）</t>
    <phoneticPr fontId="2"/>
  </si>
  <si>
    <t>・正常でないスタートの原因を引き起こした場合</t>
    <rPh sb="1" eb="3">
      <t>セイジョウ</t>
    </rPh>
    <rPh sb="11" eb="13">
      <t>ゲンイン</t>
    </rPh>
    <rPh sb="14" eb="15">
      <t>ヒ</t>
    </rPh>
    <rPh sb="16" eb="17">
      <t>オ</t>
    </rPh>
    <rPh sb="20" eb="22">
      <t>バアイ</t>
    </rPh>
    <phoneticPr fontId="2"/>
  </si>
  <si>
    <t>（競漕規則第41条）</t>
    <phoneticPr fontId="2"/>
  </si>
  <si>
    <t>なお、レース終了後の回漕中にイエローカードを受けた場合、そのイエローカードは、次のラウンドに</t>
    <rPh sb="6" eb="9">
      <t>シュウリョウゴ</t>
    </rPh>
    <rPh sb="10" eb="13">
      <t>カイソウチュウ</t>
    </rPh>
    <rPh sb="22" eb="23">
      <t>ウ</t>
    </rPh>
    <rPh sb="25" eb="27">
      <t>バアイ</t>
    </rPh>
    <phoneticPr fontId="2"/>
  </si>
  <si>
    <t>持ち越される。</t>
  </si>
  <si>
    <t>レッドカード（除外）が与えられるケース</t>
    <rPh sb="7" eb="9">
      <t>ジョガイ</t>
    </rPh>
    <rPh sb="11" eb="12">
      <t>アタ</t>
    </rPh>
    <phoneticPr fontId="2"/>
  </si>
  <si>
    <t>・同一ラウンド内で2回のイエローカードを受けた場合</t>
    <rPh sb="1" eb="3">
      <t>ドウイツ</t>
    </rPh>
    <rPh sb="7" eb="8">
      <t>ナイ</t>
    </rPh>
    <rPh sb="10" eb="11">
      <t>カイ</t>
    </rPh>
    <rPh sb="20" eb="21">
      <t>ウ</t>
    </rPh>
    <rPh sb="23" eb="25">
      <t>バアイ</t>
    </rPh>
    <phoneticPr fontId="2"/>
  </si>
  <si>
    <t>（競漕規則第20条）</t>
    <phoneticPr fontId="2"/>
  </si>
  <si>
    <t>・デッドウェイトを携行しないまま出漕した場合</t>
    <rPh sb="9" eb="11">
      <t>ケイコウ</t>
    </rPh>
    <rPh sb="16" eb="18">
      <t>シュッソウ</t>
    </rPh>
    <rPh sb="20" eb="22">
      <t>バアイ</t>
    </rPh>
    <phoneticPr fontId="2"/>
  </si>
  <si>
    <t>・同じレースで２度のフォルススタートをした場合</t>
    <rPh sb="1" eb="2">
      <t>オナ</t>
    </rPh>
    <rPh sb="8" eb="9">
      <t>ド</t>
    </rPh>
    <rPh sb="21" eb="23">
      <t>バアイ</t>
    </rPh>
    <phoneticPr fontId="2"/>
  </si>
  <si>
    <t>・その他重大なルール違反があった場合</t>
    <rPh sb="3" eb="4">
      <t>タ</t>
    </rPh>
    <rPh sb="4" eb="6">
      <t>ジュウダイ</t>
    </rPh>
    <rPh sb="10" eb="12">
      <t>イハン</t>
    </rPh>
    <rPh sb="16" eb="18">
      <t>バアイ</t>
    </rPh>
    <phoneticPr fontId="2"/>
  </si>
  <si>
    <t>予選においてレッドカードを受けたクルーの扱いについて</t>
    <rPh sb="0" eb="2">
      <t>ヨセン</t>
    </rPh>
    <rPh sb="13" eb="14">
      <t>ウ</t>
    </rPh>
    <rPh sb="20" eb="21">
      <t>アツカ</t>
    </rPh>
    <phoneticPr fontId="30"/>
  </si>
  <si>
    <t>　ア　同一ラウンド内で２回のイエローカードを受けたことによりレッドカードを受けたクルーは、</t>
    <rPh sb="3" eb="5">
      <t>ドウイツ</t>
    </rPh>
    <rPh sb="9" eb="10">
      <t>ナイ</t>
    </rPh>
    <rPh sb="12" eb="13">
      <t>カイ</t>
    </rPh>
    <rPh sb="22" eb="23">
      <t>ウ</t>
    </rPh>
    <phoneticPr fontId="30"/>
  </si>
  <si>
    <t>　　次のラウンド（敗者復活戦）に出漕させる。</t>
    <rPh sb="2" eb="3">
      <t>ツギ</t>
    </rPh>
    <rPh sb="9" eb="11">
      <t>ハイシャ</t>
    </rPh>
    <rPh sb="11" eb="14">
      <t>フッカツセン</t>
    </rPh>
    <rPh sb="16" eb="18">
      <t>シュッソウ</t>
    </rPh>
    <phoneticPr fontId="30"/>
  </si>
  <si>
    <t>　イ　無断で発艇（スタート）時刻に遅れ、レースに参加しなかった（放棄）ことによりレッドカードを受けた</t>
    <rPh sb="3" eb="5">
      <t>ムダン</t>
    </rPh>
    <rPh sb="6" eb="7">
      <t>ハッ</t>
    </rPh>
    <rPh sb="7" eb="8">
      <t>テイ</t>
    </rPh>
    <rPh sb="14" eb="16">
      <t>ジコク</t>
    </rPh>
    <rPh sb="17" eb="18">
      <t>オク</t>
    </rPh>
    <rPh sb="24" eb="26">
      <t>サンカ</t>
    </rPh>
    <rPh sb="32" eb="34">
      <t>ホウキ</t>
    </rPh>
    <phoneticPr fontId="30"/>
  </si>
  <si>
    <t>　　クルーは、次のラウンドに出漕させない。</t>
    <rPh sb="7" eb="8">
      <t>ツギ</t>
    </rPh>
    <phoneticPr fontId="30"/>
  </si>
  <si>
    <t>　ウ　その他重大なルール違反がありレッドカードを受けたクルーは次のラウンドに出漕させない。</t>
    <rPh sb="5" eb="6">
      <t>タ</t>
    </rPh>
    <rPh sb="6" eb="8">
      <t>ジュウダイ</t>
    </rPh>
    <rPh sb="12" eb="14">
      <t>イハン</t>
    </rPh>
    <rPh sb="24" eb="25">
      <t>ウ</t>
    </rPh>
    <rPh sb="31" eb="32">
      <t>ツギ</t>
    </rPh>
    <phoneticPr fontId="30"/>
  </si>
  <si>
    <t>鈴木</t>
    <rPh sb="0" eb="2">
      <t>スズキ</t>
    </rPh>
    <phoneticPr fontId="2"/>
  </si>
  <si>
    <t>ハカマタ</t>
  </si>
  <si>
    <t>１．棄権届</t>
    <rPh sb="2" eb="4">
      <t>キケン</t>
    </rPh>
    <rPh sb="4" eb="5">
      <t>トドケ</t>
    </rPh>
    <phoneticPr fontId="2"/>
  </si>
  <si>
    <t>出漕団体名：</t>
    <rPh sb="0" eb="1">
      <t>デ</t>
    </rPh>
    <rPh sb="1" eb="2">
      <t>コ</t>
    </rPh>
    <rPh sb="2" eb="4">
      <t>ダンタイ</t>
    </rPh>
    <rPh sb="4" eb="5">
      <t>メイ</t>
    </rPh>
    <phoneticPr fontId="2"/>
  </si>
  <si>
    <t>２．メンバー変更届</t>
    <rPh sb="6" eb="8">
      <t>ヘンコウ</t>
    </rPh>
    <rPh sb="8" eb="9">
      <t>トドケ</t>
    </rPh>
    <phoneticPr fontId="2"/>
  </si>
  <si>
    <t>届出責任者：</t>
    <rPh sb="0" eb="2">
      <t>トドケデ</t>
    </rPh>
    <rPh sb="2" eb="5">
      <t>セキニンシャ</t>
    </rPh>
    <phoneticPr fontId="2"/>
  </si>
  <si>
    <t>３．ブレード変更届</t>
    <rPh sb="6" eb="8">
      <t>ヘンコウ</t>
    </rPh>
    <rPh sb="8" eb="9">
      <t>トドケ</t>
    </rPh>
    <phoneticPr fontId="2"/>
  </si>
  <si>
    <t>※該当するものに○をつける</t>
    <rPh sb="1" eb="3">
      <t>ガイトウ</t>
    </rPh>
    <phoneticPr fontId="2"/>
  </si>
  <si>
    <t>１．棄権届の内容</t>
    <rPh sb="2" eb="4">
      <t>キケン</t>
    </rPh>
    <rPh sb="4" eb="5">
      <t>トドケ</t>
    </rPh>
    <rPh sb="6" eb="8">
      <t>ナイヨウ</t>
    </rPh>
    <phoneticPr fontId="2"/>
  </si>
  <si>
    <r>
      <t>レースN</t>
    </r>
    <r>
      <rPr>
        <sz val="11"/>
        <rFont val="ＭＳ Ｐゴシック"/>
        <family val="3"/>
        <charset val="128"/>
      </rPr>
      <t>o.</t>
    </r>
    <phoneticPr fontId="2"/>
  </si>
  <si>
    <t>発艇時刻</t>
    <rPh sb="0" eb="1">
      <t>ハッ</t>
    </rPh>
    <rPh sb="1" eb="2">
      <t>テイ</t>
    </rPh>
    <rPh sb="2" eb="4">
      <t>ジコク</t>
    </rPh>
    <phoneticPr fontId="2"/>
  </si>
  <si>
    <t>種　　目</t>
    <rPh sb="0" eb="1">
      <t>シュ</t>
    </rPh>
    <rPh sb="3" eb="4">
      <t>メ</t>
    </rPh>
    <phoneticPr fontId="2"/>
  </si>
  <si>
    <t>クルー名</t>
    <rPh sb="3" eb="4">
      <t>メイ</t>
    </rPh>
    <phoneticPr fontId="2"/>
  </si>
  <si>
    <t>時　　　　分</t>
    <rPh sb="0" eb="1">
      <t>ジ</t>
    </rPh>
    <rPh sb="5" eb="6">
      <t>フン</t>
    </rPh>
    <phoneticPr fontId="2"/>
  </si>
  <si>
    <t>男子　・　女子</t>
    <rPh sb="0" eb="2">
      <t>ダンシ</t>
    </rPh>
    <rPh sb="5" eb="7">
      <t>ジョシ</t>
    </rPh>
    <phoneticPr fontId="2"/>
  </si>
  <si>
    <t>４×＋　・　２×　・　１×</t>
    <phoneticPr fontId="2"/>
  </si>
  <si>
    <t>２．メンバー変更届の内容</t>
    <rPh sb="6" eb="8">
      <t>ヘンコウ</t>
    </rPh>
    <rPh sb="8" eb="9">
      <t>トドケ</t>
    </rPh>
    <rPh sb="10" eb="12">
      <t>ナイヨウ</t>
    </rPh>
    <phoneticPr fontId="2"/>
  </si>
  <si>
    <t>エントリーしたメンバー</t>
    <phoneticPr fontId="2"/>
  </si>
  <si>
    <t>変更したメンバー</t>
    <rPh sb="0" eb="2">
      <t>ヘンコウ</t>
    </rPh>
    <phoneticPr fontId="2"/>
  </si>
  <si>
    <t>３</t>
    <phoneticPr fontId="2"/>
  </si>
  <si>
    <t>２</t>
    <phoneticPr fontId="2"/>
  </si>
  <si>
    <t>補</t>
    <rPh sb="0" eb="1">
      <t>ホ</t>
    </rPh>
    <phoneticPr fontId="2"/>
  </si>
  <si>
    <t>３．ブレード変更届の内容</t>
    <rPh sb="6" eb="8">
      <t>ヘンコウ</t>
    </rPh>
    <rPh sb="8" eb="9">
      <t>トドケ</t>
    </rPh>
    <rPh sb="10" eb="12">
      <t>ナイヨウ</t>
    </rPh>
    <phoneticPr fontId="2"/>
  </si>
  <si>
    <t>登録したブレード</t>
    <rPh sb="0" eb="2">
      <t>トウロク</t>
    </rPh>
    <phoneticPr fontId="2"/>
  </si>
  <si>
    <t>変更したブレード</t>
    <rPh sb="0" eb="2">
      <t>ヘンコウ</t>
    </rPh>
    <phoneticPr fontId="2"/>
  </si>
  <si>
    <t>ブレード変更する漕手のシート</t>
    <rPh sb="4" eb="6">
      <t>ヘンコウ</t>
    </rPh>
    <rPh sb="8" eb="10">
      <t>ソウシュ</t>
    </rPh>
    <phoneticPr fontId="2"/>
  </si>
  <si>
    <t>S　　　３　　　２　　　B</t>
    <phoneticPr fontId="2"/>
  </si>
  <si>
    <t>４．申請の理由</t>
    <rPh sb="2" eb="4">
      <t>シンセイ</t>
    </rPh>
    <rPh sb="5" eb="7">
      <t>リユウ</t>
    </rPh>
    <phoneticPr fontId="2"/>
  </si>
  <si>
    <t>受付No.</t>
    <rPh sb="0" eb="2">
      <t>ウケツケ</t>
    </rPh>
    <phoneticPr fontId="2"/>
  </si>
  <si>
    <t>受付日時</t>
    <rPh sb="0" eb="2">
      <t>ウケツケ</t>
    </rPh>
    <rPh sb="2" eb="4">
      <t>ニチジ</t>
    </rPh>
    <phoneticPr fontId="2"/>
  </si>
  <si>
    <t>競漕委員長</t>
    <rPh sb="0" eb="2">
      <t>キョウソウ</t>
    </rPh>
    <rPh sb="2" eb="5">
      <t>イインチョウ</t>
    </rPh>
    <phoneticPr fontId="2"/>
  </si>
  <si>
    <t>審判長</t>
    <rPh sb="0" eb="3">
      <t>シンパンチョウ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</si>
  <si>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</si>
  <si>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</si>
  <si>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</si>
  <si>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</si>
  <si>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マキモト</t>
  </si>
  <si>
    <t>タクマ</t>
  </si>
  <si>
    <t>サトウ</t>
  </si>
  <si>
    <t>タカベ</t>
  </si>
  <si>
    <t>ユウタ</t>
  </si>
  <si>
    <t>予5</t>
    <rPh sb="0" eb="1">
      <t>ヨ</t>
    </rPh>
    <phoneticPr fontId="2"/>
  </si>
  <si>
    <t>・無断で発艇（スタート）時刻に遅れ、レースに参加しなかった場合（放棄）</t>
    <rPh sb="1" eb="3">
      <t>ムダン</t>
    </rPh>
    <rPh sb="4" eb="5">
      <t>ハツ</t>
    </rPh>
    <rPh sb="5" eb="6">
      <t>テイ</t>
    </rPh>
    <rPh sb="12" eb="14">
      <t>ジコク</t>
    </rPh>
    <rPh sb="15" eb="16">
      <t>オク</t>
    </rPh>
    <rPh sb="22" eb="24">
      <t>サンカ</t>
    </rPh>
    <rPh sb="29" eb="31">
      <t>バアイ</t>
    </rPh>
    <rPh sb="32" eb="34">
      <t>ホウキ</t>
    </rPh>
    <phoneticPr fontId="2"/>
  </si>
  <si>
    <t>　第１次予選</t>
  </si>
  <si>
    <t>公式記録</t>
  </si>
  <si>
    <t>期　 日</t>
  </si>
  <si>
    <t>会　 場</t>
  </si>
  <si>
    <t>浜　松　市　天　竜　ボ　ー　ト　場</t>
    <rPh sb="6" eb="7">
      <t>テン</t>
    </rPh>
    <rPh sb="8" eb="9">
      <t>リュウ</t>
    </rPh>
    <rPh sb="16" eb="17">
      <t>バ</t>
    </rPh>
    <phoneticPr fontId="2"/>
  </si>
  <si>
    <t>主　 催</t>
  </si>
  <si>
    <t>静　　岡　　県　　ボ　　ー　　ト　　協　　会</t>
    <phoneticPr fontId="2"/>
  </si>
  <si>
    <t>静　　岡　　県　　ボ　　ー　　ト　　協　　会</t>
  </si>
  <si>
    <t>静岡県高等学校体育連盟</t>
  </si>
  <si>
    <t>静　　岡　　県　　教　　育　　委　　員　　会</t>
  </si>
  <si>
    <t>後　 援</t>
  </si>
  <si>
    <t>（公財）　　静　　岡　　県　　体　　育　　協　　会</t>
    <rPh sb="1" eb="2">
      <t>コウ</t>
    </rPh>
    <phoneticPr fontId="2"/>
  </si>
  <si>
    <t>浜　松　市                 　</t>
    <phoneticPr fontId="2"/>
  </si>
  <si>
    <t>浜　　松　　市　　</t>
  </si>
  <si>
    <t>浜　松　市　教　育　委　員　会</t>
  </si>
  <si>
    <t>浜　　松　　市　　教　　育　　委　　員　　会</t>
  </si>
  <si>
    <t>主　 管</t>
  </si>
  <si>
    <t>静岡県高等学校体育連盟ボート専門部</t>
  </si>
  <si>
    <t>　　Ｎ</t>
  </si>
  <si>
    <t>対岸：国道側</t>
  </si>
  <si>
    <t>国道側はスタート方面に行くほど水域が狭くなるので注意</t>
  </si>
  <si>
    <t>③</t>
  </si>
  <si>
    <t>④</t>
  </si>
  <si>
    <t>0レーン</t>
  </si>
  <si>
    <t>×</t>
  </si>
  <si>
    <t>1レーン</t>
  </si>
  <si>
    <t>航行禁止コース（０～２レーン）</t>
  </si>
  <si>
    <t>2レーン</t>
  </si>
  <si>
    <t>1000～２０００ｍ間は横断禁止</t>
  </si>
  <si>
    <t>②</t>
  </si>
  <si>
    <t>3レーン</t>
  </si>
  <si>
    <t>4レーン</t>
  </si>
  <si>
    <t>5レーン</t>
  </si>
  <si>
    <t>6レーン</t>
  </si>
  <si>
    <t>⑤</t>
  </si>
  <si>
    <t>　　　　①</t>
  </si>
  <si>
    <t>　　2000ｍ</t>
  </si>
  <si>
    <t>1000ｍ</t>
  </si>
  <si>
    <t>配艇場桟橋</t>
  </si>
  <si>
    <t xml:space="preserve">    配艇場桟橋</t>
  </si>
  <si>
    <t>1500ｍ</t>
  </si>
  <si>
    <t>本部席側</t>
  </si>
  <si>
    <t>練習時における乗艇の流れ</t>
  </si>
  <si>
    <t>①出艇後は５・６レーンから上流からの艇に注意して合流し、ゴール方面に進めてください。０～２レーンは航行禁止です。</t>
  </si>
  <si>
    <t>②ゴール付近は折り返しの水域が狭いので、ゴール前には安全確認を。ゴール後は後続の艇の接近に注意して、すみやかに折り返してください。</t>
  </si>
  <si>
    <t>　なお、折り返す時、対岸の回漕水域が狭いので０レーンを斜めに航行しても構いません。</t>
  </si>
  <si>
    <t>③対岸の国道側をスタート方面に航行してください。なお、上流に行くほど水域が狭くなるので、安全確認を怠らないようにしてください。</t>
  </si>
  <si>
    <t>④1100ｍで折り返してください。1100mよりスタート方面は進入禁止です。</t>
  </si>
  <si>
    <t>　他艇の前を横切ることなく、後ろ側からコースに入ってください。　</t>
  </si>
  <si>
    <t>⑤帰艇する場合は、できるだけ６レーンを航行し、桟橋付近で方向をかえてください。なお出艇する艇・後続の艇には十分注意してください。</t>
  </si>
  <si>
    <t>航行ルール違反例</t>
  </si>
  <si>
    <t>Ａ</t>
  </si>
  <si>
    <t>４×＋・２×　斜め横断</t>
  </si>
  <si>
    <t>Ａ’</t>
  </si>
  <si>
    <t>　　　　　１×　斜め横断</t>
  </si>
  <si>
    <t>境界ﾌﾞｲを国道側に越える</t>
  </si>
  <si>
    <t>練習水域で、境界ﾌﾞｲを</t>
  </si>
  <si>
    <t>越える</t>
  </si>
  <si>
    <t>Ｄ</t>
    <phoneticPr fontId="2"/>
  </si>
  <si>
    <t>練習水域からの逆漕</t>
    <rPh sb="0" eb="2">
      <t>レンシュウ</t>
    </rPh>
    <rPh sb="2" eb="4">
      <t>スイイキ</t>
    </rPh>
    <rPh sb="7" eb="8">
      <t>ギャク</t>
    </rPh>
    <rPh sb="8" eb="9">
      <t>コ</t>
    </rPh>
    <phoneticPr fontId="2"/>
  </si>
  <si>
    <t>Ｅ</t>
    <phoneticPr fontId="2"/>
  </si>
  <si>
    <t>桟橋前での確認乗艇</t>
    <rPh sb="0" eb="2">
      <t>サンバシ</t>
    </rPh>
    <rPh sb="2" eb="3">
      <t>マエ</t>
    </rPh>
    <rPh sb="5" eb="7">
      <t>カクニン</t>
    </rPh>
    <rPh sb="7" eb="9">
      <t>ジョウテイ</t>
    </rPh>
    <phoneticPr fontId="2"/>
  </si>
  <si>
    <t>　　Ｂ</t>
  </si>
  <si>
    <t>境界ブイ</t>
  </si>
  <si>
    <t>　　⑤</t>
  </si>
  <si>
    <t>航行禁止</t>
  </si>
  <si>
    <t xml:space="preserve">    D</t>
  </si>
  <si>
    <t>D</t>
  </si>
  <si>
    <t>　　　⑥</t>
  </si>
  <si>
    <t>①</t>
  </si>
  <si>
    <t xml:space="preserve">          E</t>
  </si>
  <si>
    <t>　⑦</t>
  </si>
  <si>
    <t>　　　　</t>
  </si>
  <si>
    <t>⑦</t>
  </si>
  <si>
    <t>岸側ワイヤー注意</t>
  </si>
  <si>
    <t>判定台</t>
  </si>
  <si>
    <t>レース時における乗艇の流れ</t>
  </si>
  <si>
    <t>①②出艇後はコースを直角にすみやかに横切り、対岸の境界ブイと０レーンの間をゴール方面に進め、練習水域へ。</t>
  </si>
  <si>
    <t>　なお、練習水域には向かわず、直接スタートに向かう場合は、対岸と境界ブイの間をスタート方面に進めてください。</t>
  </si>
  <si>
    <t>③練習水域はブイを中心に、反時計まわりで航行してください。</t>
  </si>
  <si>
    <t>④スタート方面に向かう場合は、対岸・国道側と境界ブイの間をスタート方面に向かってください。</t>
  </si>
  <si>
    <t>⑤待機水域では流されないようにしてください。発艇台からのコールを受けたら、コースへ入り、ステッキボートへはバックローで着けてください。</t>
  </si>
  <si>
    <r>
      <t>　艇の故障など修理が必要な場合は、最寄の審判艇に</t>
    </r>
    <r>
      <rPr>
        <sz val="11"/>
        <color indexed="10"/>
        <rFont val="ＭＳ Ｐゴシック"/>
        <family val="3"/>
        <charset val="128"/>
      </rPr>
      <t>連絡して指示を受け</t>
    </r>
    <r>
      <rPr>
        <sz val="11"/>
        <rFont val="ＭＳ Ｐゴシック"/>
        <family val="3"/>
        <charset val="128"/>
      </rPr>
      <t>てください。</t>
    </r>
  </si>
  <si>
    <t>⑥⑦ゴール後は、判定台側を通って桟橋へ進めてください。コースよりも本部席側を航行してください。なお、出艇する艇には十分注意してください。</t>
    <phoneticPr fontId="2"/>
  </si>
  <si>
    <t>競　　漕　　日　　程</t>
  </si>
  <si>
    <t>レースＮｏ</t>
  </si>
  <si>
    <t>発艇時刻</t>
  </si>
  <si>
    <t>種　　　　　　目</t>
  </si>
  <si>
    <t>区　　　分</t>
  </si>
  <si>
    <t>男子シングルスカル</t>
    <rPh sb="0" eb="2">
      <t>ル</t>
    </rPh>
    <phoneticPr fontId="2"/>
  </si>
  <si>
    <t>休　　　　　　　憩</t>
    <rPh sb="0" eb="9">
      <t>キュウケイ</t>
    </rPh>
    <phoneticPr fontId="2"/>
  </si>
  <si>
    <t>女子ダブルスカル</t>
    <phoneticPr fontId="2"/>
  </si>
  <si>
    <t>女子舵手付きクォドルプル</t>
    <rPh sb="0" eb="12">
      <t>ダンシダシュツ</t>
    </rPh>
    <phoneticPr fontId="2"/>
  </si>
  <si>
    <t>男子舵手付きクォドルプル</t>
    <rPh sb="0" eb="2">
      <t>ダンシダシュツ</t>
    </rPh>
    <phoneticPr fontId="2"/>
  </si>
  <si>
    <t>男子舵手付きクォドルプル</t>
    <rPh sb="0" eb="5">
      <t>ダンシダシュツ</t>
    </rPh>
    <phoneticPr fontId="2"/>
  </si>
  <si>
    <t>男子シングルスカル</t>
    <rPh sb="0" eb="2">
      <t>ダンシシングル</t>
    </rPh>
    <phoneticPr fontId="2"/>
  </si>
  <si>
    <t>男子ダブルスカル</t>
    <rPh sb="0" eb="2">
      <t>ル</t>
    </rPh>
    <phoneticPr fontId="2"/>
  </si>
  <si>
    <t>昼　　休　　み　（高校顧問会議）</t>
    <rPh sb="0" eb="1">
      <t>ヒル</t>
    </rPh>
    <rPh sb="3" eb="4">
      <t>キュウ</t>
    </rPh>
    <rPh sb="9" eb="11">
      <t>コウコウ</t>
    </rPh>
    <rPh sb="11" eb="15">
      <t>コモンカイギ</t>
    </rPh>
    <phoneticPr fontId="2"/>
  </si>
  <si>
    <t>男子シングルスカル</t>
    <rPh sb="0" eb="2">
      <t>ダンs</t>
    </rPh>
    <phoneticPr fontId="2"/>
  </si>
  <si>
    <t>決勝</t>
    <rPh sb="0" eb="1">
      <t>ケッsh</t>
    </rPh>
    <phoneticPr fontId="2"/>
  </si>
  <si>
    <t>女子ダブルスカル</t>
    <rPh sb="0" eb="2">
      <t>ジョシダ</t>
    </rPh>
    <phoneticPr fontId="2"/>
  </si>
  <si>
    <t>決勝</t>
    <phoneticPr fontId="2"/>
  </si>
  <si>
    <t>女子ダブルスカル</t>
    <rPh sb="0" eb="2">
      <t>ジョシ</t>
    </rPh>
    <phoneticPr fontId="2"/>
  </si>
  <si>
    <t>予選　　　　　　 （あがり２）</t>
    <rPh sb="0" eb="2">
      <t>ヨセン</t>
    </rPh>
    <phoneticPr fontId="2"/>
  </si>
  <si>
    <t>予選２組　　　　（あがり２）</t>
    <rPh sb="0" eb="2">
      <t>ヨセン３クミ</t>
    </rPh>
    <phoneticPr fontId="2"/>
  </si>
  <si>
    <t>予選１組　　　　（あがり２）</t>
    <rPh sb="0" eb="2">
      <t>２</t>
    </rPh>
    <phoneticPr fontId="2"/>
  </si>
  <si>
    <t>佐藤</t>
    <rPh sb="0" eb="2">
      <t>サトウ</t>
    </rPh>
    <phoneticPr fontId="2"/>
  </si>
  <si>
    <t>藤田</t>
    <rPh sb="0" eb="2">
      <t>フジタ</t>
    </rPh>
    <phoneticPr fontId="2"/>
  </si>
  <si>
    <t>原田</t>
    <rPh sb="0" eb="2">
      <t>ハラダ</t>
    </rPh>
    <phoneticPr fontId="2"/>
  </si>
  <si>
    <t>袴田</t>
    <rPh sb="0" eb="2">
      <t>ハカマタ</t>
    </rPh>
    <phoneticPr fontId="2"/>
  </si>
  <si>
    <t>石川</t>
    <rPh sb="0" eb="2">
      <t>イシカワ</t>
    </rPh>
    <phoneticPr fontId="2"/>
  </si>
  <si>
    <t>新之介</t>
    <rPh sb="0" eb="1">
      <t>アラタ</t>
    </rPh>
    <rPh sb="1" eb="2">
      <t>ノ</t>
    </rPh>
    <rPh sb="2" eb="3">
      <t>スケ</t>
    </rPh>
    <phoneticPr fontId="2"/>
  </si>
  <si>
    <t>石田</t>
    <rPh sb="0" eb="2">
      <t>イシダ</t>
    </rPh>
    <phoneticPr fontId="2"/>
  </si>
  <si>
    <t>上西</t>
    <rPh sb="0" eb="2">
      <t>ウエニシ</t>
    </rPh>
    <phoneticPr fontId="2"/>
  </si>
  <si>
    <t>智紀</t>
    <rPh sb="0" eb="2">
      <t>トモキ</t>
    </rPh>
    <phoneticPr fontId="2"/>
  </si>
  <si>
    <t>和季</t>
    <rPh sb="0" eb="1">
      <t>カズ</t>
    </rPh>
    <rPh sb="1" eb="2">
      <t>キ</t>
    </rPh>
    <phoneticPr fontId="2"/>
  </si>
  <si>
    <t>松島</t>
    <rPh sb="0" eb="2">
      <t>マツシマ</t>
    </rPh>
    <phoneticPr fontId="2"/>
  </si>
  <si>
    <t>花穂</t>
    <rPh sb="0" eb="2">
      <t>ハナホ</t>
    </rPh>
    <phoneticPr fontId="2"/>
  </si>
  <si>
    <t>真奈</t>
    <rPh sb="0" eb="2">
      <t>マナ</t>
    </rPh>
    <phoneticPr fontId="2"/>
  </si>
  <si>
    <t>椛</t>
    <rPh sb="0" eb="1">
      <t>モミジ</t>
    </rPh>
    <phoneticPr fontId="2"/>
  </si>
  <si>
    <t>阿部</t>
    <rPh sb="0" eb="2">
      <t>アベ</t>
    </rPh>
    <phoneticPr fontId="2"/>
  </si>
  <si>
    <t>研也</t>
    <rPh sb="0" eb="1">
      <t>ケン</t>
    </rPh>
    <rPh sb="1" eb="2">
      <t>ナリ</t>
    </rPh>
    <phoneticPr fontId="2"/>
  </si>
  <si>
    <t>髙部</t>
    <rPh sb="0" eb="2">
      <t>タカベ</t>
    </rPh>
    <phoneticPr fontId="2"/>
  </si>
  <si>
    <t>侑汰</t>
    <rPh sb="0" eb="2">
      <t>ユウタ</t>
    </rPh>
    <phoneticPr fontId="2"/>
  </si>
  <si>
    <t>翔</t>
    <rPh sb="0" eb="1">
      <t>ショウ</t>
    </rPh>
    <phoneticPr fontId="2"/>
  </si>
  <si>
    <t>大野</t>
    <rPh sb="0" eb="2">
      <t>オオノ</t>
    </rPh>
    <phoneticPr fontId="2"/>
  </si>
  <si>
    <t>倉井</t>
    <rPh sb="0" eb="2">
      <t>クライ</t>
    </rPh>
    <phoneticPr fontId="2"/>
  </si>
  <si>
    <t>河野</t>
    <rPh sb="0" eb="2">
      <t>カワノ</t>
    </rPh>
    <phoneticPr fontId="2"/>
  </si>
  <si>
    <t>カワノ</t>
  </si>
  <si>
    <t>ハルト</t>
  </si>
  <si>
    <t>髙野</t>
    <rPh sb="0" eb="2">
      <t>タカノ</t>
    </rPh>
    <phoneticPr fontId="2"/>
  </si>
  <si>
    <t>タカノ</t>
  </si>
  <si>
    <t>リュウヤ</t>
  </si>
  <si>
    <t>ヤスカワ</t>
  </si>
  <si>
    <t>リシン</t>
  </si>
  <si>
    <t>６組</t>
    <rPh sb="1" eb="2">
      <t>クミ</t>
    </rPh>
    <phoneticPr fontId="2"/>
  </si>
  <si>
    <t>７組</t>
    <rPh sb="1" eb="2">
      <t>クミ</t>
    </rPh>
    <phoneticPr fontId="2"/>
  </si>
  <si>
    <t>８組</t>
    <rPh sb="1" eb="2">
      <t>クミ</t>
    </rPh>
    <phoneticPr fontId="2"/>
  </si>
  <si>
    <t>敗者復活２組　 （あがり１）</t>
    <rPh sb="0" eb="2">
      <t>ハイシャ</t>
    </rPh>
    <rPh sb="2" eb="4">
      <t>フッカツ</t>
    </rPh>
    <rPh sb="5" eb="6">
      <t>クミ</t>
    </rPh>
    <phoneticPr fontId="2"/>
  </si>
  <si>
    <t>敗者復活１組　 （あがり１）</t>
    <rPh sb="0" eb="2">
      <t>ハイシャ</t>
    </rPh>
    <rPh sb="2" eb="4">
      <t>フッカツ</t>
    </rPh>
    <rPh sb="5" eb="6">
      <t>クミ</t>
    </rPh>
    <phoneticPr fontId="2"/>
  </si>
  <si>
    <t>予選１組　　　　（あがり１）</t>
  </si>
  <si>
    <t>予選２組　　　　（あがり１）</t>
  </si>
  <si>
    <t>敗者復活　　　　（あがり4）</t>
    <rPh sb="0" eb="2">
      <t>ハイシャ</t>
    </rPh>
    <rPh sb="2" eb="4">
      <t>フッカツ</t>
    </rPh>
    <phoneticPr fontId="2"/>
  </si>
  <si>
    <t>ＢＨ</t>
    <phoneticPr fontId="2"/>
  </si>
  <si>
    <t>記録</t>
    <rPh sb="0" eb="2">
      <t>キロク</t>
    </rPh>
    <phoneticPr fontId="2"/>
  </si>
  <si>
    <t>Ｍ４×+</t>
    <phoneticPr fontId="2"/>
  </si>
  <si>
    <t>各クルー</t>
    <rPh sb="0" eb="1">
      <t>カク</t>
    </rPh>
    <phoneticPr fontId="2"/>
  </si>
  <si>
    <t>２名</t>
    <rPh sb="1" eb="2">
      <t>メイ</t>
    </rPh>
    <phoneticPr fontId="2"/>
  </si>
  <si>
    <t>計24人</t>
    <rPh sb="0" eb="1">
      <t>ケイ</t>
    </rPh>
    <rPh sb="3" eb="4">
      <t>ニン</t>
    </rPh>
    <phoneticPr fontId="2"/>
  </si>
  <si>
    <t>計14人</t>
    <rPh sb="0" eb="1">
      <t>ケイ</t>
    </rPh>
    <rPh sb="3" eb="4">
      <t>ニン</t>
    </rPh>
    <phoneticPr fontId="2"/>
  </si>
  <si>
    <t>Ｍ１×</t>
    <phoneticPr fontId="2"/>
  </si>
  <si>
    <t>予3-2</t>
    <rPh sb="0" eb="1">
      <t>ヨ</t>
    </rPh>
    <phoneticPr fontId="2"/>
  </si>
  <si>
    <t>予4</t>
    <rPh sb="0" eb="1">
      <t>ヨ</t>
    </rPh>
    <phoneticPr fontId="2"/>
  </si>
  <si>
    <t>敗3</t>
    <rPh sb="0" eb="1">
      <t>ハイ</t>
    </rPh>
    <phoneticPr fontId="2"/>
  </si>
  <si>
    <t>敗4</t>
    <rPh sb="0" eb="1">
      <t>ハイ</t>
    </rPh>
    <phoneticPr fontId="2"/>
  </si>
  <si>
    <t>令和４年４月９日（土）・10（日）</t>
    <rPh sb="0" eb="2">
      <t>レイワ</t>
    </rPh>
    <rPh sb="9" eb="10">
      <t>ド</t>
    </rPh>
    <phoneticPr fontId="2"/>
  </si>
  <si>
    <t>　　４月１０日（日）　　　　　　　　　　レース開始　　９：００</t>
    <phoneticPr fontId="2"/>
  </si>
  <si>
    <t>浜松西高校</t>
    <rPh sb="0" eb="2">
      <t>ハママツ</t>
    </rPh>
    <rPh sb="2" eb="3">
      <t>ニシ</t>
    </rPh>
    <rPh sb="3" eb="5">
      <t>コウコウ</t>
    </rPh>
    <phoneticPr fontId="2"/>
  </si>
  <si>
    <t>青山</t>
    <rPh sb="0" eb="2">
      <t>アオヤマ</t>
    </rPh>
    <phoneticPr fontId="2"/>
  </si>
  <si>
    <t>純也</t>
    <rPh sb="0" eb="2">
      <t>ジュンヤ</t>
    </rPh>
    <phoneticPr fontId="2"/>
  </si>
  <si>
    <t>アオヤマ</t>
  </si>
  <si>
    <t>ジュンヤ</t>
  </si>
  <si>
    <t>飯田</t>
    <rPh sb="0" eb="2">
      <t>イイダ</t>
    </rPh>
    <phoneticPr fontId="2"/>
  </si>
  <si>
    <t>純晟</t>
    <rPh sb="0" eb="1">
      <t>ジュン</t>
    </rPh>
    <rPh sb="1" eb="2">
      <t>セイ</t>
    </rPh>
    <phoneticPr fontId="2"/>
  </si>
  <si>
    <t>金指</t>
    <rPh sb="0" eb="2">
      <t>カナサシ</t>
    </rPh>
    <phoneticPr fontId="2"/>
  </si>
  <si>
    <t>直宏</t>
    <rPh sb="0" eb="2">
      <t>ナオヒロ</t>
    </rPh>
    <phoneticPr fontId="2"/>
  </si>
  <si>
    <t>北川</t>
    <rPh sb="0" eb="2">
      <t>キタガワ</t>
    </rPh>
    <phoneticPr fontId="2"/>
  </si>
  <si>
    <t>湧大</t>
    <rPh sb="0" eb="1">
      <t>ワ</t>
    </rPh>
    <rPh sb="1" eb="2">
      <t>ダイ</t>
    </rPh>
    <phoneticPr fontId="2"/>
  </si>
  <si>
    <t>浜松西高校A</t>
    <rPh sb="0" eb="2">
      <t>ハママツ</t>
    </rPh>
    <rPh sb="2" eb="3">
      <t>ニシ</t>
    </rPh>
    <rPh sb="3" eb="5">
      <t>コウコウ</t>
    </rPh>
    <phoneticPr fontId="2"/>
  </si>
  <si>
    <t>浜松西高校B</t>
    <rPh sb="0" eb="2">
      <t>ハママツ</t>
    </rPh>
    <rPh sb="2" eb="3">
      <t>ニシ</t>
    </rPh>
    <rPh sb="3" eb="5">
      <t>コウコウ</t>
    </rPh>
    <phoneticPr fontId="2"/>
  </si>
  <si>
    <t>浜松西高校C</t>
    <rPh sb="0" eb="2">
      <t>ハママツ</t>
    </rPh>
    <rPh sb="2" eb="3">
      <t>ニシ</t>
    </rPh>
    <rPh sb="3" eb="5">
      <t>コウコウ</t>
    </rPh>
    <phoneticPr fontId="2"/>
  </si>
  <si>
    <t>小笠原</t>
    <rPh sb="0" eb="3">
      <t>オガサワラ</t>
    </rPh>
    <phoneticPr fontId="2"/>
  </si>
  <si>
    <t>実玖</t>
    <rPh sb="0" eb="2">
      <t>ミク</t>
    </rPh>
    <phoneticPr fontId="2"/>
  </si>
  <si>
    <t>真央</t>
    <rPh sb="0" eb="2">
      <t>マオ</t>
    </rPh>
    <phoneticPr fontId="2"/>
  </si>
  <si>
    <t>オガサワラ</t>
  </si>
  <si>
    <t>ミク</t>
  </si>
  <si>
    <t>マオ</t>
  </si>
  <si>
    <t>モミジ</t>
  </si>
  <si>
    <t>浜松西高校</t>
    <rPh sb="0" eb="5">
      <t>ハママツニシコウコウ</t>
    </rPh>
    <phoneticPr fontId="2"/>
  </si>
  <si>
    <t>髙村</t>
    <rPh sb="0" eb="2">
      <t>タカムラ</t>
    </rPh>
    <phoneticPr fontId="4"/>
  </si>
  <si>
    <t>崚</t>
    <rPh sb="0" eb="1">
      <t>リョウ</t>
    </rPh>
    <phoneticPr fontId="4"/>
  </si>
  <si>
    <t>川本</t>
    <rPh sb="0" eb="2">
      <t>カワモト</t>
    </rPh>
    <phoneticPr fontId="4"/>
  </si>
  <si>
    <t>晴</t>
    <rPh sb="0" eb="1">
      <t>ハル</t>
    </rPh>
    <phoneticPr fontId="4"/>
  </si>
  <si>
    <t>杉山</t>
    <rPh sb="0" eb="2">
      <t>スギヤマ</t>
    </rPh>
    <phoneticPr fontId="4"/>
  </si>
  <si>
    <t>美夏</t>
    <rPh sb="0" eb="2">
      <t>ミカ</t>
    </rPh>
    <phoneticPr fontId="4"/>
  </si>
  <si>
    <t>沼津工業高校</t>
    <rPh sb="0" eb="2">
      <t>ヌマヅ</t>
    </rPh>
    <rPh sb="2" eb="4">
      <t>コウギョウ</t>
    </rPh>
    <rPh sb="4" eb="6">
      <t>コウコウ</t>
    </rPh>
    <phoneticPr fontId="2"/>
  </si>
  <si>
    <t>沼津工業高校A</t>
    <rPh sb="0" eb="2">
      <t>ヌマヅ</t>
    </rPh>
    <rPh sb="2" eb="4">
      <t>コウギョウ</t>
    </rPh>
    <rPh sb="4" eb="6">
      <t>コウコウ</t>
    </rPh>
    <phoneticPr fontId="2"/>
  </si>
  <si>
    <t>沼津工業高校B</t>
    <rPh sb="0" eb="2">
      <t>ヌマヅ</t>
    </rPh>
    <rPh sb="2" eb="4">
      <t>コウギョウ</t>
    </rPh>
    <rPh sb="4" eb="6">
      <t>コウコウ</t>
    </rPh>
    <phoneticPr fontId="2"/>
  </si>
  <si>
    <t>沼津工業高校C</t>
    <rPh sb="0" eb="2">
      <t>ヌマヅ</t>
    </rPh>
    <rPh sb="2" eb="4">
      <t>コウギョウ</t>
    </rPh>
    <rPh sb="4" eb="6">
      <t>コウコウ</t>
    </rPh>
    <phoneticPr fontId="2"/>
  </si>
  <si>
    <t>沼津工業高校D</t>
    <rPh sb="0" eb="2">
      <t>ヌマヅ</t>
    </rPh>
    <rPh sb="2" eb="4">
      <t>コウギョウ</t>
    </rPh>
    <rPh sb="4" eb="6">
      <t>コウコウ</t>
    </rPh>
    <phoneticPr fontId="2"/>
  </si>
  <si>
    <t>佐々木</t>
    <rPh sb="0" eb="3">
      <t>ササキ</t>
    </rPh>
    <phoneticPr fontId="4"/>
  </si>
  <si>
    <t>吾瀧</t>
    <rPh sb="0" eb="2">
      <t>アタキ</t>
    </rPh>
    <phoneticPr fontId="4"/>
  </si>
  <si>
    <t>ササキ</t>
  </si>
  <si>
    <t>アロウ</t>
  </si>
  <si>
    <t>牧本</t>
    <rPh sb="0" eb="2">
      <t>マキモト</t>
    </rPh>
    <phoneticPr fontId="4"/>
  </si>
  <si>
    <t>拓磨</t>
    <rPh sb="0" eb="1">
      <t>タク</t>
    </rPh>
    <rPh sb="1" eb="2">
      <t>マ</t>
    </rPh>
    <phoneticPr fontId="4"/>
  </si>
  <si>
    <t>小坂</t>
    <rPh sb="0" eb="2">
      <t>コサカ</t>
    </rPh>
    <phoneticPr fontId="4"/>
  </si>
  <si>
    <t>響己</t>
    <rPh sb="0" eb="1">
      <t>ヒビキ</t>
    </rPh>
    <rPh sb="1" eb="2">
      <t>オノレ</t>
    </rPh>
    <phoneticPr fontId="4"/>
  </si>
  <si>
    <t>コサカ</t>
  </si>
  <si>
    <t>ヒビキ</t>
  </si>
  <si>
    <t>勝又</t>
    <rPh sb="0" eb="2">
      <t>カツマタ</t>
    </rPh>
    <phoneticPr fontId="4"/>
  </si>
  <si>
    <t>風雅</t>
    <rPh sb="0" eb="2">
      <t>フウガ</t>
    </rPh>
    <phoneticPr fontId="4"/>
  </si>
  <si>
    <t>カツマタ</t>
  </si>
  <si>
    <t>フウガ</t>
  </si>
  <si>
    <t>植松</t>
    <rPh sb="0" eb="2">
      <t>ウエマツ</t>
    </rPh>
    <phoneticPr fontId="4"/>
  </si>
  <si>
    <t>聖陽</t>
    <rPh sb="0" eb="2">
      <t>セイヨウ</t>
    </rPh>
    <phoneticPr fontId="4"/>
  </si>
  <si>
    <t>九里</t>
    <rPh sb="0" eb="1">
      <t>キュウ</t>
    </rPh>
    <rPh sb="1" eb="2">
      <t>サト</t>
    </rPh>
    <phoneticPr fontId="2"/>
  </si>
  <si>
    <t>美羽</t>
    <rPh sb="0" eb="2">
      <t>ミウ</t>
    </rPh>
    <phoneticPr fontId="2"/>
  </si>
  <si>
    <t>土方</t>
    <rPh sb="0" eb="2">
      <t>ヒジカタ</t>
    </rPh>
    <phoneticPr fontId="2"/>
  </si>
  <si>
    <t>結貴</t>
    <rPh sb="0" eb="2">
      <t>ユキ</t>
    </rPh>
    <phoneticPr fontId="2"/>
  </si>
  <si>
    <t>湖西高校</t>
    <rPh sb="0" eb="2">
      <t>コサイ</t>
    </rPh>
    <rPh sb="2" eb="4">
      <t>コウコウ</t>
    </rPh>
    <phoneticPr fontId="2"/>
  </si>
  <si>
    <t>覚士</t>
    <rPh sb="0" eb="1">
      <t>ガク</t>
    </rPh>
    <rPh sb="1" eb="2">
      <t>シ</t>
    </rPh>
    <phoneticPr fontId="2"/>
  </si>
  <si>
    <t>イシダ</t>
  </si>
  <si>
    <t>ガクト</t>
  </si>
  <si>
    <t>守屋</t>
    <rPh sb="0" eb="2">
      <t>モリヤ</t>
    </rPh>
    <phoneticPr fontId="2"/>
  </si>
  <si>
    <t>拓人</t>
    <rPh sb="0" eb="2">
      <t>タクト</t>
    </rPh>
    <phoneticPr fontId="2"/>
  </si>
  <si>
    <t>中村</t>
    <rPh sb="0" eb="2">
      <t>ナカムラ</t>
    </rPh>
    <phoneticPr fontId="2"/>
  </si>
  <si>
    <t>晟也</t>
  </si>
  <si>
    <t>モリヤ</t>
  </si>
  <si>
    <t>タクト</t>
  </si>
  <si>
    <t>ナカムラ</t>
  </si>
  <si>
    <t>セイヤ</t>
  </si>
  <si>
    <t>湖西高校A</t>
    <rPh sb="0" eb="2">
      <t>コサイ</t>
    </rPh>
    <rPh sb="2" eb="4">
      <t>コウコウ</t>
    </rPh>
    <phoneticPr fontId="2"/>
  </si>
  <si>
    <t>湖西高校B</t>
    <rPh sb="0" eb="2">
      <t>コサイ</t>
    </rPh>
    <rPh sb="2" eb="4">
      <t>コウコウ</t>
    </rPh>
    <phoneticPr fontId="2"/>
  </si>
  <si>
    <t>湖西高校C</t>
    <rPh sb="0" eb="2">
      <t>コサイ</t>
    </rPh>
    <rPh sb="2" eb="4">
      <t>コウコウ</t>
    </rPh>
    <phoneticPr fontId="2"/>
  </si>
  <si>
    <t>大翔</t>
    <rPh sb="0" eb="2">
      <t>ハルト</t>
    </rPh>
    <phoneticPr fontId="2"/>
  </si>
  <si>
    <t>河尻</t>
    <rPh sb="0" eb="2">
      <t>カワジリ</t>
    </rPh>
    <phoneticPr fontId="2"/>
  </si>
  <si>
    <t>想太</t>
    <rPh sb="0" eb="2">
      <t>ソウタ</t>
    </rPh>
    <phoneticPr fontId="2"/>
  </si>
  <si>
    <t>龍也</t>
    <rPh sb="0" eb="1">
      <t>リュウ</t>
    </rPh>
    <rPh sb="1" eb="2">
      <t>ヤ</t>
    </rPh>
    <phoneticPr fontId="2"/>
  </si>
  <si>
    <t>爽汰</t>
    <rPh sb="0" eb="2">
      <t>ソウタ</t>
    </rPh>
    <phoneticPr fontId="2"/>
  </si>
  <si>
    <t>遥希</t>
    <rPh sb="0" eb="1">
      <t>ハル</t>
    </rPh>
    <phoneticPr fontId="2"/>
  </si>
  <si>
    <t>安川</t>
    <rPh sb="0" eb="2">
      <t>ヤスカワ</t>
    </rPh>
    <phoneticPr fontId="2"/>
  </si>
  <si>
    <t>莉槙</t>
    <rPh sb="0" eb="1">
      <t>リ</t>
    </rPh>
    <rPh sb="1" eb="2">
      <t>シン</t>
    </rPh>
    <phoneticPr fontId="2"/>
  </si>
  <si>
    <t>原</t>
    <rPh sb="0" eb="1">
      <t>ハラ</t>
    </rPh>
    <phoneticPr fontId="2"/>
  </si>
  <si>
    <t>太壱</t>
    <rPh sb="0" eb="1">
      <t>タ</t>
    </rPh>
    <rPh sb="1" eb="2">
      <t>イチ</t>
    </rPh>
    <phoneticPr fontId="2"/>
  </si>
  <si>
    <t>魚住</t>
    <rPh sb="0" eb="2">
      <t>ウオズミ</t>
    </rPh>
    <phoneticPr fontId="2"/>
  </si>
  <si>
    <t>拓夢</t>
    <rPh sb="0" eb="1">
      <t>ヒロム</t>
    </rPh>
    <rPh sb="1" eb="2">
      <t>ユメ</t>
    </rPh>
    <phoneticPr fontId="2"/>
  </si>
  <si>
    <t>岡市</t>
    <rPh sb="0" eb="2">
      <t>オカイチ</t>
    </rPh>
    <phoneticPr fontId="2"/>
  </si>
  <si>
    <t>蓮夢</t>
  </si>
  <si>
    <t>オカイチ</t>
  </si>
  <si>
    <t>レン</t>
  </si>
  <si>
    <t>ウオズミ</t>
  </si>
  <si>
    <t>ヒロム</t>
  </si>
  <si>
    <t>ハラ</t>
  </si>
  <si>
    <t>ダイチ</t>
  </si>
  <si>
    <t>オオノ</t>
  </si>
  <si>
    <t>ハルキ</t>
  </si>
  <si>
    <t>クライ</t>
  </si>
  <si>
    <t>ソウタ</t>
  </si>
  <si>
    <t>フジタ</t>
  </si>
  <si>
    <t>ショウ</t>
  </si>
  <si>
    <t>カワジリ</t>
  </si>
  <si>
    <t>増田</t>
    <rPh sb="0" eb="2">
      <t>マスダ</t>
    </rPh>
    <phoneticPr fontId="2"/>
  </si>
  <si>
    <t>夏美</t>
    <rPh sb="0" eb="2">
      <t>ナツミ</t>
    </rPh>
    <phoneticPr fontId="2"/>
  </si>
  <si>
    <t>新居高校A</t>
    <rPh sb="0" eb="2">
      <t>アライ</t>
    </rPh>
    <rPh sb="2" eb="4">
      <t>コウコウ</t>
    </rPh>
    <phoneticPr fontId="2"/>
  </si>
  <si>
    <t>新居高校B</t>
    <rPh sb="0" eb="2">
      <t>アライ</t>
    </rPh>
    <rPh sb="2" eb="4">
      <t>コウコウ</t>
    </rPh>
    <phoneticPr fontId="2"/>
  </si>
  <si>
    <t>新居高校C</t>
    <rPh sb="0" eb="2">
      <t>アライ</t>
    </rPh>
    <rPh sb="2" eb="4">
      <t>コウコウ</t>
    </rPh>
    <phoneticPr fontId="2"/>
  </si>
  <si>
    <t>新居高校D</t>
    <rPh sb="0" eb="2">
      <t>アライ</t>
    </rPh>
    <rPh sb="2" eb="4">
      <t>コウコウ</t>
    </rPh>
    <phoneticPr fontId="2"/>
  </si>
  <si>
    <t>新居高校E</t>
    <rPh sb="0" eb="2">
      <t>アライ</t>
    </rPh>
    <rPh sb="2" eb="4">
      <t>コウコウ</t>
    </rPh>
    <phoneticPr fontId="2"/>
  </si>
  <si>
    <t>新居高校F</t>
    <rPh sb="0" eb="2">
      <t>アライ</t>
    </rPh>
    <rPh sb="2" eb="4">
      <t>コウコウ</t>
    </rPh>
    <phoneticPr fontId="2"/>
  </si>
  <si>
    <t>新居高校G</t>
    <rPh sb="0" eb="2">
      <t>アライ</t>
    </rPh>
    <rPh sb="2" eb="4">
      <t>コウコウ</t>
    </rPh>
    <phoneticPr fontId="2"/>
  </si>
  <si>
    <t>新居高校H</t>
    <rPh sb="0" eb="2">
      <t>アライ</t>
    </rPh>
    <rPh sb="2" eb="4">
      <t>コウコウ</t>
    </rPh>
    <phoneticPr fontId="2"/>
  </si>
  <si>
    <t>新居高校I</t>
    <rPh sb="0" eb="2">
      <t>アライ</t>
    </rPh>
    <rPh sb="2" eb="4">
      <t>コウコウ</t>
    </rPh>
    <phoneticPr fontId="2"/>
  </si>
  <si>
    <t>新居高校J</t>
    <rPh sb="0" eb="2">
      <t>アライ</t>
    </rPh>
    <rPh sb="2" eb="4">
      <t>コウコウ</t>
    </rPh>
    <phoneticPr fontId="2"/>
  </si>
  <si>
    <t>新居高校K</t>
    <rPh sb="0" eb="2">
      <t>アライ</t>
    </rPh>
    <rPh sb="2" eb="4">
      <t>コウコウ</t>
    </rPh>
    <phoneticPr fontId="2"/>
  </si>
  <si>
    <t>新居高校A</t>
    <rPh sb="0" eb="2">
      <t>アライ</t>
    </rPh>
    <rPh sb="2" eb="4">
      <t>コウコウ</t>
    </rPh>
    <phoneticPr fontId="2"/>
  </si>
  <si>
    <t>新居高校B</t>
    <rPh sb="0" eb="2">
      <t>アライ</t>
    </rPh>
    <rPh sb="2" eb="4">
      <t>コウコウ</t>
    </rPh>
    <phoneticPr fontId="2"/>
  </si>
  <si>
    <t>山内</t>
    <rPh sb="0" eb="2">
      <t>ヤマウチ</t>
    </rPh>
    <phoneticPr fontId="2"/>
  </si>
  <si>
    <t>亮河</t>
    <rPh sb="0" eb="1">
      <t>リョウ</t>
    </rPh>
    <rPh sb="1" eb="2">
      <t>カワ</t>
    </rPh>
    <phoneticPr fontId="2"/>
  </si>
  <si>
    <t>大西</t>
    <rPh sb="0" eb="2">
      <t>オオニシ</t>
    </rPh>
    <phoneticPr fontId="2"/>
  </si>
  <si>
    <t>浩介</t>
    <rPh sb="0" eb="2">
      <t>コウスケ</t>
    </rPh>
    <phoneticPr fontId="2"/>
  </si>
  <si>
    <t>内藤</t>
    <rPh sb="0" eb="2">
      <t>ナイトウ</t>
    </rPh>
    <phoneticPr fontId="2"/>
  </si>
  <si>
    <t>晴樹</t>
    <rPh sb="0" eb="1">
      <t>ハレ</t>
    </rPh>
    <rPh sb="1" eb="2">
      <t>キ</t>
    </rPh>
    <phoneticPr fontId="2"/>
  </si>
  <si>
    <t>髙村</t>
    <rPh sb="0" eb="2">
      <t>タカムラ</t>
    </rPh>
    <phoneticPr fontId="2"/>
  </si>
  <si>
    <t>太一</t>
    <rPh sb="0" eb="2">
      <t>タイチ</t>
    </rPh>
    <phoneticPr fontId="2"/>
  </si>
  <si>
    <t>垣田</t>
    <rPh sb="0" eb="2">
      <t>カキタ</t>
    </rPh>
    <phoneticPr fontId="2"/>
  </si>
  <si>
    <t>稜空</t>
    <rPh sb="0" eb="1">
      <t>リョウ</t>
    </rPh>
    <rPh sb="1" eb="2">
      <t>ソラ</t>
    </rPh>
    <phoneticPr fontId="2"/>
  </si>
  <si>
    <t>石牧</t>
    <rPh sb="0" eb="1">
      <t>イシ</t>
    </rPh>
    <rPh sb="1" eb="2">
      <t>マキ</t>
    </rPh>
    <phoneticPr fontId="2"/>
  </si>
  <si>
    <t>諒一</t>
    <rPh sb="0" eb="2">
      <t>リョウイチ</t>
    </rPh>
    <phoneticPr fontId="2"/>
  </si>
  <si>
    <t>辻岡</t>
    <rPh sb="0" eb="2">
      <t>ツジオカ</t>
    </rPh>
    <phoneticPr fontId="2"/>
  </si>
  <si>
    <t>大門</t>
    <rPh sb="0" eb="2">
      <t>ダイモン</t>
    </rPh>
    <phoneticPr fontId="2"/>
  </si>
  <si>
    <t>今部</t>
    <rPh sb="0" eb="1">
      <t>コン</t>
    </rPh>
    <rPh sb="1" eb="2">
      <t>ベ</t>
    </rPh>
    <phoneticPr fontId="2"/>
  </si>
  <si>
    <t>弥月</t>
    <rPh sb="0" eb="1">
      <t>ミ</t>
    </rPh>
    <rPh sb="1" eb="2">
      <t>ツキ</t>
    </rPh>
    <phoneticPr fontId="2"/>
  </si>
  <si>
    <t>飯島</t>
    <rPh sb="0" eb="2">
      <t>イイジマ</t>
    </rPh>
    <phoneticPr fontId="2"/>
  </si>
  <si>
    <t>凛</t>
    <rPh sb="0" eb="1">
      <t>リン</t>
    </rPh>
    <phoneticPr fontId="2"/>
  </si>
  <si>
    <t>内山</t>
    <rPh sb="0" eb="2">
      <t>ウチヤマ</t>
    </rPh>
    <phoneticPr fontId="2"/>
  </si>
  <si>
    <t>夢大</t>
    <rPh sb="0" eb="1">
      <t>ユメ</t>
    </rPh>
    <rPh sb="1" eb="2">
      <t>ダイ</t>
    </rPh>
    <phoneticPr fontId="2"/>
  </si>
  <si>
    <t>越智</t>
    <rPh sb="0" eb="2">
      <t>オチ</t>
    </rPh>
    <phoneticPr fontId="2"/>
  </si>
  <si>
    <t>千紗都</t>
    <rPh sb="0" eb="3">
      <t>チサト</t>
    </rPh>
    <phoneticPr fontId="2"/>
  </si>
  <si>
    <t>後藤</t>
    <rPh sb="0" eb="2">
      <t>ゴトウ</t>
    </rPh>
    <phoneticPr fontId="2"/>
  </si>
  <si>
    <t>真歩</t>
    <rPh sb="0" eb="2">
      <t>マホ</t>
    </rPh>
    <phoneticPr fontId="2"/>
  </si>
  <si>
    <t>晴南</t>
    <rPh sb="0" eb="1">
      <t>ハレ</t>
    </rPh>
    <rPh sb="1" eb="2">
      <t>ミナミ</t>
    </rPh>
    <phoneticPr fontId="2"/>
  </si>
  <si>
    <t>ゴトウ</t>
  </si>
  <si>
    <t>マホ</t>
  </si>
  <si>
    <t>スズキ</t>
  </si>
  <si>
    <t>ハルナ</t>
  </si>
  <si>
    <t>伊藤</t>
    <rPh sb="0" eb="2">
      <t>イトウ</t>
    </rPh>
    <phoneticPr fontId="2"/>
  </si>
  <si>
    <t>未羽</t>
    <rPh sb="0" eb="2">
      <t>ミウ</t>
    </rPh>
    <phoneticPr fontId="2"/>
  </si>
  <si>
    <t>乗松</t>
    <rPh sb="0" eb="2">
      <t>ノリマツ</t>
    </rPh>
    <phoneticPr fontId="2"/>
  </si>
  <si>
    <t>侑奈</t>
    <rPh sb="0" eb="1">
      <t>ユウ</t>
    </rPh>
    <rPh sb="1" eb="2">
      <t>ナ</t>
    </rPh>
    <phoneticPr fontId="2"/>
  </si>
  <si>
    <t>イトウ</t>
  </si>
  <si>
    <t>ミウ</t>
  </si>
  <si>
    <t>ノリマツ</t>
  </si>
  <si>
    <t>ユキナ</t>
  </si>
  <si>
    <t>山本</t>
  </si>
  <si>
    <t>山本</t>
    <rPh sb="0" eb="2">
      <t>ヤマモト</t>
    </rPh>
    <phoneticPr fontId="2"/>
  </si>
  <si>
    <t>幸生</t>
  </si>
  <si>
    <t>幸生</t>
    <rPh sb="0" eb="2">
      <t>ユキオ</t>
    </rPh>
    <phoneticPr fontId="2"/>
  </si>
  <si>
    <t>天竜高校A</t>
    <rPh sb="0" eb="2">
      <t>テンリュウ</t>
    </rPh>
    <rPh sb="2" eb="4">
      <t>コウコウ</t>
    </rPh>
    <phoneticPr fontId="2"/>
  </si>
  <si>
    <t>天竜高校B</t>
    <rPh sb="0" eb="2">
      <t>テンリュウ</t>
    </rPh>
    <rPh sb="2" eb="4">
      <t>コウコウ</t>
    </rPh>
    <phoneticPr fontId="2"/>
  </si>
  <si>
    <t>聖龍</t>
    <rPh sb="0" eb="1">
      <t>セイ</t>
    </rPh>
    <rPh sb="1" eb="2">
      <t>リュウ</t>
    </rPh>
    <phoneticPr fontId="2"/>
  </si>
  <si>
    <t>髙橋</t>
    <rPh sb="0" eb="2">
      <t>タカハシ</t>
    </rPh>
    <phoneticPr fontId="2"/>
  </si>
  <si>
    <t>咲汰郎</t>
    <rPh sb="0" eb="1">
      <t>サク</t>
    </rPh>
    <rPh sb="1" eb="2">
      <t>タ</t>
    </rPh>
    <rPh sb="2" eb="3">
      <t>ロウ</t>
    </rPh>
    <phoneticPr fontId="2"/>
  </si>
  <si>
    <t>健太</t>
    <rPh sb="0" eb="2">
      <t>ケンタ</t>
    </rPh>
    <phoneticPr fontId="2"/>
  </si>
  <si>
    <t>黒田</t>
    <rPh sb="0" eb="2">
      <t>クロダ</t>
    </rPh>
    <phoneticPr fontId="2"/>
  </si>
  <si>
    <t>文哉</t>
    <rPh sb="0" eb="2">
      <t>フミヤ</t>
    </rPh>
    <phoneticPr fontId="2"/>
  </si>
  <si>
    <t>大橋</t>
    <rPh sb="0" eb="2">
      <t>オオハシ</t>
    </rPh>
    <phoneticPr fontId="2"/>
  </si>
  <si>
    <t>泰斗</t>
    <rPh sb="0" eb="1">
      <t>タイ</t>
    </rPh>
    <rPh sb="1" eb="2">
      <t>ト</t>
    </rPh>
    <phoneticPr fontId="2"/>
  </si>
  <si>
    <t>清水</t>
    <rPh sb="0" eb="2">
      <t>シミズ</t>
    </rPh>
    <phoneticPr fontId="2"/>
  </si>
  <si>
    <t>颯真</t>
    <rPh sb="0" eb="2">
      <t>ソウマ</t>
    </rPh>
    <phoneticPr fontId="2"/>
  </si>
  <si>
    <t>岡野</t>
    <rPh sb="0" eb="2">
      <t>オカノ</t>
    </rPh>
    <phoneticPr fontId="2"/>
  </si>
  <si>
    <t>望斗</t>
    <rPh sb="0" eb="1">
      <t>ノゾミ</t>
    </rPh>
    <rPh sb="1" eb="2">
      <t>ト</t>
    </rPh>
    <phoneticPr fontId="2"/>
  </si>
  <si>
    <t>青嶋</t>
    <rPh sb="0" eb="2">
      <t>アオシマ</t>
    </rPh>
    <phoneticPr fontId="2"/>
  </si>
  <si>
    <t>拓海</t>
    <rPh sb="0" eb="2">
      <t>タクミ</t>
    </rPh>
    <phoneticPr fontId="2"/>
  </si>
  <si>
    <t>アオシマ</t>
  </si>
  <si>
    <t>タクミ</t>
  </si>
  <si>
    <t>オカノ</t>
  </si>
  <si>
    <t>ミト</t>
  </si>
  <si>
    <t>シミズ</t>
  </si>
  <si>
    <t>ソウマ</t>
  </si>
  <si>
    <t>オオハシ</t>
  </si>
  <si>
    <t>タイト</t>
  </si>
  <si>
    <t>クロダ</t>
  </si>
  <si>
    <t>フミヤ</t>
  </si>
  <si>
    <t>ケンタ</t>
  </si>
  <si>
    <t>タカハシ</t>
  </si>
  <si>
    <t>サクタロウ</t>
  </si>
  <si>
    <t>セイリュウ</t>
  </si>
  <si>
    <t>天竜高校C</t>
    <rPh sb="0" eb="2">
      <t>テンリュウ</t>
    </rPh>
    <rPh sb="2" eb="4">
      <t>コウコウ</t>
    </rPh>
    <phoneticPr fontId="2"/>
  </si>
  <si>
    <t>天竜高校D</t>
    <rPh sb="0" eb="2">
      <t>テンリュウ</t>
    </rPh>
    <rPh sb="2" eb="4">
      <t>コウコウ</t>
    </rPh>
    <phoneticPr fontId="2"/>
  </si>
  <si>
    <t>天竜高校E</t>
    <rPh sb="0" eb="2">
      <t>テンリュウ</t>
    </rPh>
    <rPh sb="2" eb="4">
      <t>コウコウ</t>
    </rPh>
    <phoneticPr fontId="2"/>
  </si>
  <si>
    <t>天竜高校F</t>
    <rPh sb="0" eb="2">
      <t>テンリュウ</t>
    </rPh>
    <rPh sb="2" eb="4">
      <t>コウコウ</t>
    </rPh>
    <phoneticPr fontId="2"/>
  </si>
  <si>
    <t>天竜高校G</t>
    <rPh sb="0" eb="2">
      <t>テンリュウ</t>
    </rPh>
    <rPh sb="2" eb="4">
      <t>コウコウ</t>
    </rPh>
    <phoneticPr fontId="2"/>
  </si>
  <si>
    <t>天竜高校H</t>
    <rPh sb="0" eb="2">
      <t>テンリュウ</t>
    </rPh>
    <rPh sb="2" eb="4">
      <t>コウコウ</t>
    </rPh>
    <phoneticPr fontId="2"/>
  </si>
  <si>
    <t>加賀</t>
  </si>
  <si>
    <t>優吾</t>
  </si>
  <si>
    <t>佐藤</t>
  </si>
  <si>
    <t>恒佑</t>
  </si>
  <si>
    <t>野村</t>
  </si>
  <si>
    <t>佳吾</t>
  </si>
  <si>
    <t>前田</t>
  </si>
  <si>
    <t>伊瑳武</t>
  </si>
  <si>
    <t>鈴木</t>
  </si>
  <si>
    <t>漣史朗</t>
  </si>
  <si>
    <t>沼津東高校</t>
    <rPh sb="0" eb="2">
      <t>ヌマヅ</t>
    </rPh>
    <rPh sb="2" eb="3">
      <t>ヒガシ</t>
    </rPh>
    <rPh sb="3" eb="5">
      <t>コウコウ</t>
    </rPh>
    <phoneticPr fontId="2"/>
  </si>
  <si>
    <t>亮次</t>
    <rPh sb="0" eb="2">
      <t>リョウジ</t>
    </rPh>
    <phoneticPr fontId="2"/>
  </si>
  <si>
    <t>大西</t>
  </si>
  <si>
    <t>晃太郎</t>
  </si>
  <si>
    <t>青木</t>
  </si>
  <si>
    <t>航世</t>
  </si>
  <si>
    <t>深田</t>
  </si>
  <si>
    <t>真翔</t>
  </si>
  <si>
    <t>小倉</t>
  </si>
  <si>
    <t>睦貴</t>
  </si>
  <si>
    <t>森</t>
  </si>
  <si>
    <t>啓太</t>
  </si>
  <si>
    <t>秋山</t>
  </si>
  <si>
    <t>晶</t>
  </si>
  <si>
    <t>小木曽</t>
    <rPh sb="0" eb="3">
      <t>オギソ</t>
    </rPh>
    <phoneticPr fontId="5"/>
  </si>
  <si>
    <t>櫂</t>
  </si>
  <si>
    <t>小山</t>
  </si>
  <si>
    <t>宰</t>
  </si>
  <si>
    <t>沼津東高校A</t>
    <rPh sb="0" eb="2">
      <t>ヌマヅ</t>
    </rPh>
    <rPh sb="2" eb="3">
      <t>ヒガシ</t>
    </rPh>
    <rPh sb="3" eb="5">
      <t>コウコウ</t>
    </rPh>
    <phoneticPr fontId="2"/>
  </si>
  <si>
    <t>沼津東高校B</t>
    <rPh sb="0" eb="2">
      <t>ヌマヅ</t>
    </rPh>
    <rPh sb="2" eb="3">
      <t>ヒガシ</t>
    </rPh>
    <rPh sb="3" eb="5">
      <t>コウコウ</t>
    </rPh>
    <phoneticPr fontId="2"/>
  </si>
  <si>
    <t>沼津東高校C</t>
    <rPh sb="0" eb="2">
      <t>ヌマヅ</t>
    </rPh>
    <rPh sb="2" eb="3">
      <t>ヒガシ</t>
    </rPh>
    <rPh sb="3" eb="5">
      <t>コウコウ</t>
    </rPh>
    <phoneticPr fontId="2"/>
  </si>
  <si>
    <t>駿麻</t>
    <rPh sb="0" eb="1">
      <t>シュン</t>
    </rPh>
    <rPh sb="1" eb="2">
      <t>マ</t>
    </rPh>
    <phoneticPr fontId="2"/>
  </si>
  <si>
    <t>沼津東高校</t>
    <rPh sb="0" eb="5">
      <t>ヌマヅヒガシコウコウ</t>
    </rPh>
    <phoneticPr fontId="2"/>
  </si>
  <si>
    <t>沼津東高校A</t>
    <rPh sb="0" eb="5">
      <t>ヌマヅヒガシコウコウ</t>
    </rPh>
    <phoneticPr fontId="2"/>
  </si>
  <si>
    <t>沼津東高校B</t>
    <rPh sb="0" eb="5">
      <t>ヌマヅヒガシコウコウ</t>
    </rPh>
    <phoneticPr fontId="2"/>
  </si>
  <si>
    <t>フカダ</t>
  </si>
  <si>
    <t>マナト</t>
  </si>
  <si>
    <t>コヤマ</t>
  </si>
  <si>
    <t>ツカサ</t>
  </si>
  <si>
    <t>長谷川</t>
    <rPh sb="0" eb="3">
      <t>ハセガワ</t>
    </rPh>
    <phoneticPr fontId="6"/>
  </si>
  <si>
    <t>灯</t>
  </si>
  <si>
    <t>金盛</t>
  </si>
  <si>
    <t>悠宇和</t>
  </si>
  <si>
    <t>堀池</t>
  </si>
  <si>
    <t>うらら</t>
  </si>
  <si>
    <t>根本</t>
    <rPh sb="0" eb="2">
      <t>ネモト</t>
    </rPh>
    <phoneticPr fontId="6"/>
  </si>
  <si>
    <t>祐美</t>
  </si>
  <si>
    <t>村上</t>
    <rPh sb="0" eb="2">
      <t>ムラカミ</t>
    </rPh>
    <phoneticPr fontId="6"/>
  </si>
  <si>
    <t>晴香</t>
  </si>
  <si>
    <t>山本</t>
    <rPh sb="0" eb="2">
      <t>ヤマモト</t>
    </rPh>
    <phoneticPr fontId="5"/>
  </si>
  <si>
    <t>美羽</t>
  </si>
  <si>
    <t>向井</t>
    <rPh sb="0" eb="2">
      <t>ムカイ</t>
    </rPh>
    <phoneticPr fontId="7"/>
  </si>
  <si>
    <t>彩莉</t>
    <rPh sb="0" eb="1">
      <t>アヤ</t>
    </rPh>
    <rPh sb="1" eb="2">
      <t>リ</t>
    </rPh>
    <phoneticPr fontId="7"/>
  </si>
  <si>
    <t>秋山</t>
    <rPh sb="0" eb="2">
      <t>アキヤマ</t>
    </rPh>
    <phoneticPr fontId="6"/>
  </si>
  <si>
    <t>静那</t>
  </si>
  <si>
    <t>長倉</t>
    <rPh sb="0" eb="2">
      <t>ナガクラ</t>
    </rPh>
    <phoneticPr fontId="5"/>
  </si>
  <si>
    <t>理子</t>
  </si>
  <si>
    <t>藤井</t>
  </si>
  <si>
    <t>凜</t>
  </si>
  <si>
    <t>河﨑</t>
    <rPh sb="0" eb="2">
      <t>カワサキ</t>
    </rPh>
    <phoneticPr fontId="6"/>
  </si>
  <si>
    <t>楓乃</t>
  </si>
  <si>
    <t>杉本</t>
    <rPh sb="0" eb="2">
      <t>スギモト</t>
    </rPh>
    <phoneticPr fontId="2"/>
  </si>
  <si>
    <t>由佳子</t>
    <rPh sb="0" eb="3">
      <t>ユカコ</t>
    </rPh>
    <phoneticPr fontId="2"/>
  </si>
  <si>
    <t>ナガクラ</t>
  </si>
  <si>
    <t>リコ</t>
  </si>
  <si>
    <t>ヤマモト</t>
  </si>
  <si>
    <t>ミワ</t>
  </si>
  <si>
    <t>堀部</t>
    <rPh sb="0" eb="2">
      <t>ホリベ</t>
    </rPh>
    <phoneticPr fontId="2"/>
  </si>
  <si>
    <t>時羽</t>
    <rPh sb="0" eb="1">
      <t>トキ</t>
    </rPh>
    <rPh sb="1" eb="2">
      <t>ハネ</t>
    </rPh>
    <phoneticPr fontId="2"/>
  </si>
  <si>
    <t>辿馬</t>
    <rPh sb="0" eb="1">
      <t>テン</t>
    </rPh>
    <rPh sb="1" eb="2">
      <t>ウマ</t>
    </rPh>
    <phoneticPr fontId="2"/>
  </si>
  <si>
    <t>達広</t>
    <rPh sb="0" eb="1">
      <t>タツ</t>
    </rPh>
    <rPh sb="1" eb="2">
      <t>ヒロ</t>
    </rPh>
    <phoneticPr fontId="2"/>
  </si>
  <si>
    <t>浜松大平台高校</t>
    <rPh sb="0" eb="2">
      <t>ハママツ</t>
    </rPh>
    <rPh sb="2" eb="5">
      <t>オオヒラダイ</t>
    </rPh>
    <rPh sb="5" eb="7">
      <t>コウコウ</t>
    </rPh>
    <phoneticPr fontId="2"/>
  </si>
  <si>
    <t>富田</t>
    <rPh sb="0" eb="2">
      <t>トミタ</t>
    </rPh>
    <phoneticPr fontId="2"/>
  </si>
  <si>
    <t>航生</t>
    <rPh sb="0" eb="1">
      <t>ワタル</t>
    </rPh>
    <rPh sb="1" eb="2">
      <t>イ</t>
    </rPh>
    <phoneticPr fontId="2"/>
  </si>
  <si>
    <t>長谷川</t>
    <rPh sb="0" eb="3">
      <t>ハセガワ</t>
    </rPh>
    <phoneticPr fontId="2"/>
  </si>
  <si>
    <t>優成</t>
    <rPh sb="0" eb="2">
      <t>ユウセイ</t>
    </rPh>
    <phoneticPr fontId="2"/>
  </si>
  <si>
    <t>鎌田</t>
    <rPh sb="0" eb="2">
      <t>カマタ</t>
    </rPh>
    <phoneticPr fontId="2"/>
  </si>
  <si>
    <t>有翔</t>
    <rPh sb="0" eb="1">
      <t>ユウ</t>
    </rPh>
    <rPh sb="1" eb="2">
      <t>ショウ</t>
    </rPh>
    <phoneticPr fontId="2"/>
  </si>
  <si>
    <t>松元</t>
    <rPh sb="0" eb="2">
      <t>マツモト</t>
    </rPh>
    <phoneticPr fontId="2"/>
  </si>
  <si>
    <t>慧太朗</t>
    <rPh sb="0" eb="1">
      <t>ケイ</t>
    </rPh>
    <rPh sb="1" eb="3">
      <t>タロウ</t>
    </rPh>
    <phoneticPr fontId="2"/>
  </si>
  <si>
    <t>トミタ</t>
  </si>
  <si>
    <t>コウキ</t>
  </si>
  <si>
    <t>ハセガワ</t>
  </si>
  <si>
    <t>ユウセイ</t>
  </si>
  <si>
    <t>カマタ</t>
  </si>
  <si>
    <t>ユウト</t>
  </si>
  <si>
    <t>浜松大平台高校A</t>
    <rPh sb="0" eb="2">
      <t>ハママツ</t>
    </rPh>
    <rPh sb="2" eb="5">
      <t>オオヒラダイ</t>
    </rPh>
    <rPh sb="5" eb="7">
      <t>コウコウ</t>
    </rPh>
    <phoneticPr fontId="2"/>
  </si>
  <si>
    <t>浜松大平台高校B</t>
    <rPh sb="0" eb="2">
      <t>ハママツ</t>
    </rPh>
    <rPh sb="2" eb="5">
      <t>オオヒラダイ</t>
    </rPh>
    <rPh sb="5" eb="7">
      <t>コウコウ</t>
    </rPh>
    <phoneticPr fontId="2"/>
  </si>
  <si>
    <t>浜松大平台高校C</t>
    <rPh sb="0" eb="2">
      <t>ハママツ</t>
    </rPh>
    <rPh sb="2" eb="5">
      <t>オオヒラダイ</t>
    </rPh>
    <rPh sb="5" eb="7">
      <t>コウコウ</t>
    </rPh>
    <phoneticPr fontId="2"/>
  </si>
  <si>
    <t>浜松大平台高校D</t>
    <rPh sb="0" eb="2">
      <t>ハママツ</t>
    </rPh>
    <rPh sb="2" eb="5">
      <t>オオヒラダイ</t>
    </rPh>
    <rPh sb="5" eb="7">
      <t>コウコウ</t>
    </rPh>
    <phoneticPr fontId="2"/>
  </si>
  <si>
    <t>大井</t>
    <rPh sb="0" eb="2">
      <t>オオイ</t>
    </rPh>
    <phoneticPr fontId="2"/>
  </si>
  <si>
    <t>理世</t>
    <rPh sb="0" eb="1">
      <t>リ</t>
    </rPh>
    <rPh sb="1" eb="2">
      <t>セ</t>
    </rPh>
    <phoneticPr fontId="2"/>
  </si>
  <si>
    <t>浜松大平台高校</t>
    <rPh sb="0" eb="7">
      <t>ハママツオオヒラダイコウコウ</t>
    </rPh>
    <phoneticPr fontId="2"/>
  </si>
  <si>
    <t>オオイ</t>
  </si>
  <si>
    <t>リセ</t>
  </si>
  <si>
    <t>凛花</t>
    <rPh sb="0" eb="1">
      <t>リン</t>
    </rPh>
    <rPh sb="1" eb="2">
      <t>ハナ</t>
    </rPh>
    <phoneticPr fontId="2"/>
  </si>
  <si>
    <t>松川</t>
    <rPh sb="0" eb="2">
      <t>マツカワ</t>
    </rPh>
    <phoneticPr fontId="2"/>
  </si>
  <si>
    <t>玲菜</t>
    <rPh sb="0" eb="1">
      <t>レイ</t>
    </rPh>
    <rPh sb="1" eb="2">
      <t>ナ</t>
    </rPh>
    <phoneticPr fontId="2"/>
  </si>
  <si>
    <t>瀧澤</t>
    <rPh sb="0" eb="2">
      <t>タキザワ</t>
    </rPh>
    <phoneticPr fontId="2"/>
  </si>
  <si>
    <t>明花</t>
    <rPh sb="0" eb="1">
      <t>ア</t>
    </rPh>
    <rPh sb="1" eb="2">
      <t>ハナ</t>
    </rPh>
    <phoneticPr fontId="2"/>
  </si>
  <si>
    <t>希花</t>
    <rPh sb="0" eb="1">
      <t>マレ</t>
    </rPh>
    <rPh sb="1" eb="2">
      <t>ハナ</t>
    </rPh>
    <phoneticPr fontId="2"/>
  </si>
  <si>
    <t>知夏</t>
    <rPh sb="0" eb="1">
      <t>チ</t>
    </rPh>
    <rPh sb="1" eb="2">
      <t>ナツ</t>
    </rPh>
    <phoneticPr fontId="2"/>
  </si>
  <si>
    <t>河島</t>
    <rPh sb="0" eb="2">
      <t>カワシマ</t>
    </rPh>
    <phoneticPr fontId="2"/>
  </si>
  <si>
    <t>里紗</t>
    <rPh sb="0" eb="2">
      <t>リサ</t>
    </rPh>
    <phoneticPr fontId="2"/>
  </si>
  <si>
    <t>浜松湖南高校</t>
    <rPh sb="0" eb="2">
      <t>ハママツ</t>
    </rPh>
    <rPh sb="2" eb="4">
      <t>コナン</t>
    </rPh>
    <rPh sb="4" eb="6">
      <t>コウコウ</t>
    </rPh>
    <phoneticPr fontId="2"/>
  </si>
  <si>
    <t>内藤</t>
    <rPh sb="0" eb="2">
      <t>ナイトウ</t>
    </rPh>
    <phoneticPr fontId="2"/>
  </si>
  <si>
    <t>洋平</t>
    <rPh sb="0" eb="2">
      <t>ヨウヘイ</t>
    </rPh>
    <phoneticPr fontId="2"/>
  </si>
  <si>
    <t>斎藤</t>
    <rPh sb="0" eb="2">
      <t>サイトウ</t>
    </rPh>
    <phoneticPr fontId="2"/>
  </si>
  <si>
    <t>大輔</t>
    <rPh sb="0" eb="2">
      <t>ダイスケ</t>
    </rPh>
    <phoneticPr fontId="2"/>
  </si>
  <si>
    <t>牧田</t>
    <rPh sb="0" eb="2">
      <t>マキタ</t>
    </rPh>
    <phoneticPr fontId="2"/>
  </si>
  <si>
    <t>侑大</t>
    <rPh sb="0" eb="2">
      <t>ユウダイ</t>
    </rPh>
    <phoneticPr fontId="2"/>
  </si>
  <si>
    <t>石塚</t>
    <rPh sb="0" eb="2">
      <t>イシヅカ</t>
    </rPh>
    <phoneticPr fontId="2"/>
  </si>
  <si>
    <t>健太</t>
    <rPh sb="0" eb="2">
      <t>ケンタ</t>
    </rPh>
    <phoneticPr fontId="2"/>
  </si>
  <si>
    <t>山本</t>
    <rPh sb="0" eb="2">
      <t>ヤマモト</t>
    </rPh>
    <phoneticPr fontId="2"/>
  </si>
  <si>
    <t>航也</t>
    <rPh sb="0" eb="1">
      <t>コウ</t>
    </rPh>
    <rPh sb="1" eb="2">
      <t>ナリ</t>
    </rPh>
    <phoneticPr fontId="2"/>
  </si>
  <si>
    <t>星山</t>
    <rPh sb="0" eb="2">
      <t>ホシヤマ</t>
    </rPh>
    <phoneticPr fontId="2"/>
  </si>
  <si>
    <t>将士</t>
    <rPh sb="0" eb="2">
      <t>マサシ</t>
    </rPh>
    <phoneticPr fontId="2"/>
  </si>
  <si>
    <t>康太</t>
    <rPh sb="0" eb="2">
      <t>コウタ</t>
    </rPh>
    <phoneticPr fontId="2"/>
  </si>
  <si>
    <t>山崎</t>
    <rPh sb="0" eb="2">
      <t>ヤマサキ</t>
    </rPh>
    <phoneticPr fontId="2"/>
  </si>
  <si>
    <t>武敏</t>
    <rPh sb="0" eb="2">
      <t>タケトシ</t>
    </rPh>
    <phoneticPr fontId="2"/>
  </si>
  <si>
    <t>浜松湖南高校A</t>
    <rPh sb="0" eb="2">
      <t>ハママツ</t>
    </rPh>
    <rPh sb="2" eb="4">
      <t>コナン</t>
    </rPh>
    <rPh sb="4" eb="6">
      <t>コウコウ</t>
    </rPh>
    <phoneticPr fontId="2"/>
  </si>
  <si>
    <t>高橋</t>
    <rPh sb="0" eb="2">
      <t>タカハシ</t>
    </rPh>
    <phoneticPr fontId="2"/>
  </si>
  <si>
    <t>駿介</t>
    <rPh sb="0" eb="2">
      <t>シュンスケ</t>
    </rPh>
    <phoneticPr fontId="2"/>
  </si>
  <si>
    <t>渥美</t>
    <rPh sb="0" eb="2">
      <t>アツミ</t>
    </rPh>
    <phoneticPr fontId="2"/>
  </si>
  <si>
    <t>智也</t>
    <rPh sb="0" eb="2">
      <t>トモヤ</t>
    </rPh>
    <phoneticPr fontId="2"/>
  </si>
  <si>
    <t>浜松湖南高校B</t>
    <rPh sb="0" eb="4">
      <t>ハママツコナン</t>
    </rPh>
    <rPh sb="4" eb="6">
      <t>コウコウ</t>
    </rPh>
    <phoneticPr fontId="2"/>
  </si>
  <si>
    <t>高津</t>
    <rPh sb="0" eb="2">
      <t>タカツ</t>
    </rPh>
    <phoneticPr fontId="2"/>
  </si>
  <si>
    <t>幹</t>
    <rPh sb="0" eb="1">
      <t>モトキ</t>
    </rPh>
    <phoneticPr fontId="2"/>
  </si>
  <si>
    <t>河合</t>
    <rPh sb="0" eb="2">
      <t>カワイ</t>
    </rPh>
    <phoneticPr fontId="2"/>
  </si>
  <si>
    <t>鳳汰</t>
    <rPh sb="0" eb="1">
      <t>オオトリ</t>
    </rPh>
    <rPh sb="1" eb="2">
      <t>タ</t>
    </rPh>
    <phoneticPr fontId="2"/>
  </si>
  <si>
    <t>蓑部</t>
    <rPh sb="0" eb="2">
      <t>ミノベ</t>
    </rPh>
    <phoneticPr fontId="2"/>
  </si>
  <si>
    <t>匠之介</t>
    <rPh sb="0" eb="1">
      <t>タクミ</t>
    </rPh>
    <rPh sb="1" eb="2">
      <t>ノ</t>
    </rPh>
    <rPh sb="2" eb="3">
      <t>スケ</t>
    </rPh>
    <phoneticPr fontId="2"/>
  </si>
  <si>
    <t>浜松湖南高校C</t>
    <rPh sb="0" eb="6">
      <t>ハママツコナンコウコウ</t>
    </rPh>
    <phoneticPr fontId="2"/>
  </si>
  <si>
    <t>猪原</t>
    <rPh sb="0" eb="2">
      <t>イノハラ</t>
    </rPh>
    <phoneticPr fontId="2"/>
  </si>
  <si>
    <t>瑞生</t>
    <rPh sb="0" eb="2">
      <t>ミズキ</t>
    </rPh>
    <phoneticPr fontId="2"/>
  </si>
  <si>
    <t>米澤</t>
    <rPh sb="0" eb="2">
      <t>ヨネザワ</t>
    </rPh>
    <phoneticPr fontId="2"/>
  </si>
  <si>
    <t>涼斗</t>
    <rPh sb="0" eb="1">
      <t>リョウ</t>
    </rPh>
    <rPh sb="1" eb="2">
      <t>ト</t>
    </rPh>
    <phoneticPr fontId="2"/>
  </si>
  <si>
    <t>松島</t>
    <rPh sb="0" eb="2">
      <t>マツシマ</t>
    </rPh>
    <phoneticPr fontId="2"/>
  </si>
  <si>
    <t>煌起</t>
    <rPh sb="0" eb="1">
      <t>キラ</t>
    </rPh>
    <rPh sb="1" eb="2">
      <t>オ</t>
    </rPh>
    <phoneticPr fontId="2"/>
  </si>
  <si>
    <t>浜松湖南高校D</t>
    <rPh sb="0" eb="6">
      <t>ハママツコナンコウコウ</t>
    </rPh>
    <phoneticPr fontId="2"/>
  </si>
  <si>
    <t>久木山</t>
    <rPh sb="0" eb="3">
      <t>クギヤマ</t>
    </rPh>
    <phoneticPr fontId="2"/>
  </si>
  <si>
    <t>颯汰</t>
    <rPh sb="0" eb="2">
      <t>ソウタ</t>
    </rPh>
    <phoneticPr fontId="2"/>
  </si>
  <si>
    <t>凌生</t>
    <rPh sb="0" eb="1">
      <t>リョウ</t>
    </rPh>
    <rPh sb="1" eb="2">
      <t>イ</t>
    </rPh>
    <phoneticPr fontId="2"/>
  </si>
  <si>
    <t>山下</t>
    <rPh sb="0" eb="2">
      <t>ヤマシタ</t>
    </rPh>
    <phoneticPr fontId="2"/>
  </si>
  <si>
    <t>稜人</t>
    <rPh sb="0" eb="1">
      <t>リョウ</t>
    </rPh>
    <rPh sb="1" eb="2">
      <t>ヒト</t>
    </rPh>
    <phoneticPr fontId="2"/>
  </si>
  <si>
    <t>浜松湖南高校A</t>
    <rPh sb="0" eb="6">
      <t>ハママツコナンコウコウ</t>
    </rPh>
    <phoneticPr fontId="2"/>
  </si>
  <si>
    <t>ホシヤマ</t>
    <phoneticPr fontId="2"/>
  </si>
  <si>
    <t>マサシ</t>
    <phoneticPr fontId="2"/>
  </si>
  <si>
    <t>浜松湖南高校B</t>
    <rPh sb="0" eb="6">
      <t>ハママツコナンコウコウ</t>
    </rPh>
    <phoneticPr fontId="2"/>
  </si>
  <si>
    <t>ミノベ</t>
    <phoneticPr fontId="2"/>
  </si>
  <si>
    <t>ショウノスケ</t>
    <phoneticPr fontId="2"/>
  </si>
  <si>
    <t>アツミ</t>
    <phoneticPr fontId="2"/>
  </si>
  <si>
    <t>トモヤ</t>
    <phoneticPr fontId="2"/>
  </si>
  <si>
    <t>マツシマ</t>
    <phoneticPr fontId="2"/>
  </si>
  <si>
    <t>コウキ</t>
    <phoneticPr fontId="2"/>
  </si>
  <si>
    <t>浜松湖南高校E</t>
    <rPh sb="0" eb="6">
      <t>ハママツコナンコウコウ</t>
    </rPh>
    <phoneticPr fontId="2"/>
  </si>
  <si>
    <t>ヤマシタ</t>
    <phoneticPr fontId="2"/>
  </si>
  <si>
    <t>リョウト</t>
    <phoneticPr fontId="2"/>
  </si>
  <si>
    <t>浜松北高校A</t>
    <rPh sb="0" eb="2">
      <t>ハママツ</t>
    </rPh>
    <rPh sb="2" eb="3">
      <t>キタ</t>
    </rPh>
    <rPh sb="3" eb="5">
      <t>コウコウ</t>
    </rPh>
    <phoneticPr fontId="2"/>
  </si>
  <si>
    <t>福田</t>
    <rPh sb="0" eb="2">
      <t>フクダ</t>
    </rPh>
    <phoneticPr fontId="2"/>
  </si>
  <si>
    <t>一</t>
    <rPh sb="0" eb="1">
      <t>ハジメ</t>
    </rPh>
    <phoneticPr fontId="2"/>
  </si>
  <si>
    <t>フクダ</t>
    <phoneticPr fontId="2"/>
  </si>
  <si>
    <t>ハジメ</t>
    <phoneticPr fontId="2"/>
  </si>
  <si>
    <t>小栗</t>
    <rPh sb="0" eb="2">
      <t>オグリ</t>
    </rPh>
    <phoneticPr fontId="2"/>
  </si>
  <si>
    <t>正人</t>
    <rPh sb="0" eb="2">
      <t>マサト</t>
    </rPh>
    <phoneticPr fontId="2"/>
  </si>
  <si>
    <t>浜松北高校B</t>
    <rPh sb="0" eb="2">
      <t>ハママツ</t>
    </rPh>
    <rPh sb="2" eb="3">
      <t>キタ</t>
    </rPh>
    <rPh sb="3" eb="5">
      <t>コウコウ</t>
    </rPh>
    <phoneticPr fontId="2"/>
  </si>
  <si>
    <t>杉本</t>
    <rPh sb="0" eb="2">
      <t>スギモト</t>
    </rPh>
    <phoneticPr fontId="2"/>
  </si>
  <si>
    <t>達哉</t>
    <rPh sb="0" eb="2">
      <t>タツヤ</t>
    </rPh>
    <phoneticPr fontId="2"/>
  </si>
  <si>
    <t>スギモト</t>
    <phoneticPr fontId="2"/>
  </si>
  <si>
    <t>タツヤ</t>
    <phoneticPr fontId="2"/>
  </si>
  <si>
    <t>浜松北高校C</t>
    <rPh sb="0" eb="2">
      <t>ハママツ</t>
    </rPh>
    <rPh sb="2" eb="3">
      <t>キタ</t>
    </rPh>
    <rPh sb="3" eb="5">
      <t>コウコウ</t>
    </rPh>
    <phoneticPr fontId="2"/>
  </si>
  <si>
    <t>戸川</t>
    <rPh sb="0" eb="2">
      <t>トガワ</t>
    </rPh>
    <phoneticPr fontId="2"/>
  </si>
  <si>
    <t>駿</t>
    <rPh sb="0" eb="1">
      <t>シュン</t>
    </rPh>
    <phoneticPr fontId="2"/>
  </si>
  <si>
    <t>トガワ</t>
    <phoneticPr fontId="2"/>
  </si>
  <si>
    <t>シュン</t>
    <phoneticPr fontId="2"/>
  </si>
  <si>
    <t>露木</t>
    <rPh sb="0" eb="2">
      <t>ツユキ</t>
    </rPh>
    <phoneticPr fontId="2"/>
  </si>
  <si>
    <t>隆</t>
    <rPh sb="0" eb="1">
      <t>タカシ</t>
    </rPh>
    <phoneticPr fontId="2"/>
  </si>
  <si>
    <t>浜松北高校D</t>
    <rPh sb="0" eb="2">
      <t>ハママツ</t>
    </rPh>
    <rPh sb="2" eb="3">
      <t>キタ</t>
    </rPh>
    <rPh sb="3" eb="5">
      <t>コウコウ</t>
    </rPh>
    <phoneticPr fontId="2"/>
  </si>
  <si>
    <t>白柳</t>
    <rPh sb="0" eb="2">
      <t>シラヤナギ</t>
    </rPh>
    <phoneticPr fontId="2"/>
  </si>
  <si>
    <t>遼介</t>
    <rPh sb="0" eb="2">
      <t>リョウスケ</t>
    </rPh>
    <phoneticPr fontId="2"/>
  </si>
  <si>
    <t>シラヤナギ</t>
    <phoneticPr fontId="2"/>
  </si>
  <si>
    <t>リョウスケ</t>
    <phoneticPr fontId="2"/>
  </si>
  <si>
    <t>加藤</t>
    <rPh sb="0" eb="2">
      <t>カトウ</t>
    </rPh>
    <phoneticPr fontId="2"/>
  </si>
  <si>
    <t>旭葉</t>
    <rPh sb="0" eb="1">
      <t>アサヒ</t>
    </rPh>
    <rPh sb="1" eb="2">
      <t>ハ</t>
    </rPh>
    <phoneticPr fontId="2"/>
  </si>
  <si>
    <t>カトウ</t>
    <phoneticPr fontId="2"/>
  </si>
  <si>
    <t>テルハ</t>
    <phoneticPr fontId="2"/>
  </si>
  <si>
    <t>鈴木</t>
    <rPh sb="0" eb="2">
      <t>スズキ</t>
    </rPh>
    <phoneticPr fontId="2"/>
  </si>
  <si>
    <t>基弘</t>
    <rPh sb="0" eb="2">
      <t>モトヒロ</t>
    </rPh>
    <phoneticPr fontId="2"/>
  </si>
  <si>
    <t>浜松湖南高校B</t>
    <rPh sb="0" eb="2">
      <t>ハママツ</t>
    </rPh>
    <rPh sb="2" eb="4">
      <t>コナン</t>
    </rPh>
    <rPh sb="4" eb="6">
      <t>コウコウ</t>
    </rPh>
    <phoneticPr fontId="2"/>
  </si>
  <si>
    <t>金岡</t>
    <rPh sb="0" eb="2">
      <t>カナオカ</t>
    </rPh>
    <phoneticPr fontId="2"/>
  </si>
  <si>
    <t>翠夏</t>
    <rPh sb="0" eb="1">
      <t>スイ</t>
    </rPh>
    <rPh sb="1" eb="2">
      <t>ナツ</t>
    </rPh>
    <phoneticPr fontId="2"/>
  </si>
  <si>
    <t>ミナツ</t>
    <phoneticPr fontId="2"/>
  </si>
  <si>
    <t>浜松湖南高校C</t>
    <rPh sb="0" eb="2">
      <t>ハママツ</t>
    </rPh>
    <rPh sb="2" eb="4">
      <t>コナン</t>
    </rPh>
    <rPh sb="4" eb="6">
      <t>コウコウ</t>
    </rPh>
    <phoneticPr fontId="2"/>
  </si>
  <si>
    <t>市川</t>
    <rPh sb="0" eb="2">
      <t>イチカワ</t>
    </rPh>
    <phoneticPr fontId="2"/>
  </si>
  <si>
    <t>もね</t>
    <phoneticPr fontId="2"/>
  </si>
  <si>
    <t>イチカワ</t>
    <phoneticPr fontId="2"/>
  </si>
  <si>
    <t>モネ</t>
    <phoneticPr fontId="2"/>
  </si>
  <si>
    <t>濱田</t>
    <rPh sb="0" eb="2">
      <t>ハマダ</t>
    </rPh>
    <phoneticPr fontId="2"/>
  </si>
  <si>
    <t>紫希</t>
    <rPh sb="0" eb="1">
      <t>ムラサキ</t>
    </rPh>
    <rPh sb="1" eb="2">
      <t>ノゾミ</t>
    </rPh>
    <phoneticPr fontId="2"/>
  </si>
  <si>
    <t>三宅</t>
    <rPh sb="0" eb="2">
      <t>ミヤケ</t>
    </rPh>
    <phoneticPr fontId="2"/>
  </si>
  <si>
    <t>由珠</t>
    <rPh sb="0" eb="1">
      <t>ヨシ</t>
    </rPh>
    <rPh sb="1" eb="2">
      <t>タマ</t>
    </rPh>
    <phoneticPr fontId="2"/>
  </si>
  <si>
    <t>小野</t>
    <rPh sb="0" eb="2">
      <t>オノ</t>
    </rPh>
    <phoneticPr fontId="2"/>
  </si>
  <si>
    <t>志穂子</t>
    <rPh sb="0" eb="3">
      <t>シホコ</t>
    </rPh>
    <phoneticPr fontId="2"/>
  </si>
  <si>
    <t>倉田</t>
    <rPh sb="0" eb="2">
      <t>クラタ</t>
    </rPh>
    <phoneticPr fontId="2"/>
  </si>
  <si>
    <t>光希</t>
    <rPh sb="0" eb="1">
      <t>ヒカル</t>
    </rPh>
    <rPh sb="1" eb="2">
      <t>キ</t>
    </rPh>
    <phoneticPr fontId="2"/>
  </si>
  <si>
    <t>原田</t>
    <rPh sb="0" eb="2">
      <t>ハラダ</t>
    </rPh>
    <phoneticPr fontId="2"/>
  </si>
  <si>
    <t>亜美</t>
    <rPh sb="0" eb="2">
      <t>アミ</t>
    </rPh>
    <phoneticPr fontId="2"/>
  </si>
  <si>
    <t>西村</t>
    <rPh sb="0" eb="2">
      <t>ニシムラ</t>
    </rPh>
    <phoneticPr fontId="2"/>
  </si>
  <si>
    <t>京花</t>
    <rPh sb="0" eb="2">
      <t>キョウカ</t>
    </rPh>
    <phoneticPr fontId="2"/>
  </si>
  <si>
    <t>松本</t>
    <rPh sb="0" eb="2">
      <t>マツモト</t>
    </rPh>
    <phoneticPr fontId="2"/>
  </si>
  <si>
    <t>礼</t>
    <rPh sb="0" eb="1">
      <t>レイ</t>
    </rPh>
    <phoneticPr fontId="2"/>
  </si>
  <si>
    <t>萩原</t>
    <rPh sb="0" eb="2">
      <t>ハギワラ</t>
    </rPh>
    <phoneticPr fontId="2"/>
  </si>
  <si>
    <t>康治</t>
    <rPh sb="0" eb="2">
      <t>コウジ</t>
    </rPh>
    <phoneticPr fontId="2"/>
  </si>
  <si>
    <t>琢未</t>
    <rPh sb="0" eb="2">
      <t>タクミ</t>
    </rPh>
    <phoneticPr fontId="2"/>
  </si>
  <si>
    <t>隼平</t>
    <rPh sb="0" eb="2">
      <t>ジュンペイ</t>
    </rPh>
    <phoneticPr fontId="2"/>
  </si>
  <si>
    <t>大橋</t>
    <rPh sb="0" eb="2">
      <t>オオハシ</t>
    </rPh>
    <phoneticPr fontId="2"/>
  </si>
  <si>
    <t>賢人</t>
    <rPh sb="0" eb="2">
      <t>ケント</t>
    </rPh>
    <phoneticPr fontId="2"/>
  </si>
  <si>
    <t>佐藤</t>
    <rPh sb="0" eb="2">
      <t>サトウ</t>
    </rPh>
    <phoneticPr fontId="2"/>
  </si>
  <si>
    <t>嘉春</t>
    <rPh sb="0" eb="2">
      <t>ヨシハル</t>
    </rPh>
    <phoneticPr fontId="2"/>
  </si>
  <si>
    <t>長谷川</t>
    <rPh sb="0" eb="3">
      <t>ハセガワ</t>
    </rPh>
    <phoneticPr fontId="2"/>
  </si>
  <si>
    <t>大智</t>
    <rPh sb="0" eb="2">
      <t>タイチ</t>
    </rPh>
    <phoneticPr fontId="2"/>
  </si>
  <si>
    <t>浜松北高校</t>
    <rPh sb="0" eb="2">
      <t>ハママツ</t>
    </rPh>
    <rPh sb="2" eb="3">
      <t>キタ</t>
    </rPh>
    <rPh sb="3" eb="5">
      <t>コウコウ</t>
    </rPh>
    <phoneticPr fontId="2"/>
  </si>
  <si>
    <t>笠原</t>
    <rPh sb="0" eb="2">
      <t>カサハラ</t>
    </rPh>
    <phoneticPr fontId="2"/>
  </si>
  <si>
    <t>美亜</t>
    <rPh sb="0" eb="2">
      <t>ミア</t>
    </rPh>
    <phoneticPr fontId="2"/>
  </si>
  <si>
    <t>髙橋</t>
    <rPh sb="0" eb="2">
      <t>タカハシ</t>
    </rPh>
    <phoneticPr fontId="2"/>
  </si>
  <si>
    <t>莉子</t>
    <rPh sb="0" eb="2">
      <t>リコ</t>
    </rPh>
    <phoneticPr fontId="2"/>
  </si>
  <si>
    <t>安藝</t>
    <rPh sb="0" eb="2">
      <t>アキ</t>
    </rPh>
    <phoneticPr fontId="2"/>
  </si>
  <si>
    <t>日向</t>
    <rPh sb="0" eb="2">
      <t>ヒナタ</t>
    </rPh>
    <phoneticPr fontId="2"/>
  </si>
  <si>
    <t>濵本</t>
    <rPh sb="0" eb="2">
      <t>ハマモト</t>
    </rPh>
    <phoneticPr fontId="2"/>
  </si>
  <si>
    <t>侑里</t>
    <rPh sb="0" eb="2">
      <t>ユリ</t>
    </rPh>
    <phoneticPr fontId="2"/>
  </si>
  <si>
    <t>木下</t>
    <rPh sb="0" eb="2">
      <t>キシタ</t>
    </rPh>
    <phoneticPr fontId="2"/>
  </si>
  <si>
    <t>朋香</t>
    <rPh sb="0" eb="2">
      <t>トモカ</t>
    </rPh>
    <phoneticPr fontId="2"/>
  </si>
  <si>
    <t>選　　手</t>
    <phoneticPr fontId="2"/>
  </si>
  <si>
    <t>カネオカ</t>
    <phoneticPr fontId="2"/>
  </si>
  <si>
    <t>予1-1</t>
    <rPh sb="0" eb="1">
      <t>ヨ</t>
    </rPh>
    <phoneticPr fontId="2"/>
  </si>
  <si>
    <t>予1-2</t>
    <rPh sb="0" eb="1">
      <t>ヨ</t>
    </rPh>
    <phoneticPr fontId="2"/>
  </si>
  <si>
    <t>予1-3</t>
    <rPh sb="0" eb="1">
      <t>ヨ</t>
    </rPh>
    <phoneticPr fontId="2"/>
  </si>
  <si>
    <t>予2-1</t>
    <rPh sb="0" eb="1">
      <t>ヨ</t>
    </rPh>
    <phoneticPr fontId="2"/>
  </si>
  <si>
    <t>予2-2</t>
    <rPh sb="0" eb="1">
      <t>ヨ</t>
    </rPh>
    <phoneticPr fontId="2"/>
  </si>
  <si>
    <t>予2-3</t>
    <rPh sb="0" eb="1">
      <t>ヨ</t>
    </rPh>
    <phoneticPr fontId="2"/>
  </si>
  <si>
    <t>敗1-1</t>
    <rPh sb="0" eb="1">
      <t>ハイ</t>
    </rPh>
    <phoneticPr fontId="2"/>
  </si>
  <si>
    <t>敗1-2</t>
    <rPh sb="0" eb="1">
      <t>ハイ</t>
    </rPh>
    <phoneticPr fontId="2"/>
  </si>
  <si>
    <t>準1-1</t>
    <rPh sb="0" eb="1">
      <t>ジュン</t>
    </rPh>
    <phoneticPr fontId="2"/>
  </si>
  <si>
    <t>準1-2</t>
    <rPh sb="0" eb="1">
      <t>ジュン</t>
    </rPh>
    <phoneticPr fontId="2"/>
  </si>
  <si>
    <t>準2-2</t>
    <rPh sb="0" eb="1">
      <t>ジュン</t>
    </rPh>
    <phoneticPr fontId="2"/>
  </si>
  <si>
    <t>準2-1</t>
    <rPh sb="0" eb="1">
      <t>ジュン</t>
    </rPh>
    <phoneticPr fontId="2"/>
  </si>
  <si>
    <t>準3-1</t>
    <rPh sb="0" eb="1">
      <t>ジュン</t>
    </rPh>
    <phoneticPr fontId="2"/>
  </si>
  <si>
    <t>準3-2</t>
    <rPh sb="0" eb="1">
      <t>ジュン</t>
    </rPh>
    <phoneticPr fontId="2"/>
  </si>
  <si>
    <t>予3-1</t>
    <rPh sb="0" eb="1">
      <t>ヨ</t>
    </rPh>
    <phoneticPr fontId="2"/>
  </si>
  <si>
    <t>予3-2</t>
    <rPh sb="0" eb="1">
      <t>ヨ</t>
    </rPh>
    <phoneticPr fontId="2"/>
  </si>
  <si>
    <t>予3-3</t>
    <rPh sb="0" eb="1">
      <t>ヨ</t>
    </rPh>
    <phoneticPr fontId="2"/>
  </si>
  <si>
    <t>予4-1</t>
    <rPh sb="0" eb="1">
      <t>ヨ</t>
    </rPh>
    <phoneticPr fontId="2"/>
  </si>
  <si>
    <t>予4-2</t>
    <rPh sb="0" eb="1">
      <t>ヨ</t>
    </rPh>
    <phoneticPr fontId="2"/>
  </si>
  <si>
    <t>予4-3</t>
    <rPh sb="0" eb="1">
      <t>ヨ</t>
    </rPh>
    <phoneticPr fontId="2"/>
  </si>
  <si>
    <t>予5-1</t>
    <rPh sb="0" eb="1">
      <t>ヨ</t>
    </rPh>
    <phoneticPr fontId="2"/>
  </si>
  <si>
    <t>予5-2</t>
    <rPh sb="0" eb="1">
      <t>ヨ</t>
    </rPh>
    <phoneticPr fontId="2"/>
  </si>
  <si>
    <t>予6-1</t>
    <rPh sb="0" eb="1">
      <t>ヨ</t>
    </rPh>
    <phoneticPr fontId="2"/>
  </si>
  <si>
    <t>予6-2</t>
    <rPh sb="0" eb="1">
      <t>ヨ</t>
    </rPh>
    <phoneticPr fontId="2"/>
  </si>
  <si>
    <t>.</t>
    <phoneticPr fontId="2"/>
  </si>
  <si>
    <t>予1</t>
    <rPh sb="0" eb="1">
      <t>ヨ</t>
    </rPh>
    <phoneticPr fontId="2"/>
  </si>
  <si>
    <t>予3</t>
    <rPh sb="0" eb="1">
      <t>ヨ</t>
    </rPh>
    <phoneticPr fontId="2"/>
  </si>
  <si>
    <t>予3</t>
    <rPh sb="0" eb="1">
      <t>ヨ</t>
    </rPh>
    <phoneticPr fontId="2"/>
  </si>
  <si>
    <t>３名</t>
    <rPh sb="1" eb="2">
      <t>メイ</t>
    </rPh>
    <phoneticPr fontId="2"/>
  </si>
  <si>
    <t>計15名</t>
    <rPh sb="0" eb="1">
      <t>ケイ</t>
    </rPh>
    <rPh sb="3" eb="4">
      <t>メイ</t>
    </rPh>
    <phoneticPr fontId="2"/>
  </si>
  <si>
    <t>計10名</t>
    <rPh sb="0" eb="1">
      <t>ケイ</t>
    </rPh>
    <rPh sb="3" eb="4">
      <t>メイ</t>
    </rPh>
    <phoneticPr fontId="2"/>
  </si>
  <si>
    <t>Ｍ２ｘ</t>
    <phoneticPr fontId="2"/>
  </si>
  <si>
    <t>W２ｘ</t>
    <phoneticPr fontId="2"/>
  </si>
  <si>
    <t>予選　　　　　　 （あがり５）</t>
    <rPh sb="0" eb="2">
      <t>ヨセン</t>
    </rPh>
    <phoneticPr fontId="2"/>
  </si>
  <si>
    <t>予5</t>
    <rPh sb="0" eb="1">
      <t>ヨ</t>
    </rPh>
    <phoneticPr fontId="2"/>
  </si>
  <si>
    <t>予選１組　　　　（あがり１）</t>
    <rPh sb="0" eb="1">
      <t>ヨセン１クミ</t>
    </rPh>
    <phoneticPr fontId="2"/>
  </si>
  <si>
    <t>予選２組　　　　（あがり１）</t>
    <phoneticPr fontId="2"/>
  </si>
  <si>
    <t>予選３組　　　　（あがり１）</t>
    <phoneticPr fontId="2"/>
  </si>
  <si>
    <t>女子舵手付きクォドルプル</t>
    <rPh sb="0" eb="5">
      <t>ジョシダシュツキ</t>
    </rPh>
    <phoneticPr fontId="2"/>
  </si>
  <si>
    <t>Ｗ４ｘ＋</t>
    <phoneticPr fontId="2"/>
  </si>
  <si>
    <t>計15人</t>
    <rPh sb="0" eb="1">
      <t>ケイ</t>
    </rPh>
    <rPh sb="3" eb="4">
      <t>ニン</t>
    </rPh>
    <phoneticPr fontId="2"/>
  </si>
  <si>
    <t>Ｗ１ｘ</t>
    <phoneticPr fontId="2"/>
  </si>
  <si>
    <t>敗復敗退</t>
    <rPh sb="0" eb="2">
      <t>ハイフク</t>
    </rPh>
    <rPh sb="2" eb="4">
      <t>ハイタイ</t>
    </rPh>
    <phoneticPr fontId="2"/>
  </si>
  <si>
    <t>計8名</t>
    <rPh sb="0" eb="1">
      <t>ケイ</t>
    </rPh>
    <rPh sb="2" eb="3">
      <t>メイ</t>
    </rPh>
    <phoneticPr fontId="2"/>
  </si>
  <si>
    <t>（競漕規則第27,28,29,31条）</t>
    <phoneticPr fontId="2"/>
  </si>
  <si>
    <t>満たない者については、最大限15㎏までデッドウエイトをもたねばならない。</t>
    <phoneticPr fontId="2"/>
  </si>
  <si>
    <t>（競漕規則第25条）</t>
    <phoneticPr fontId="2"/>
  </si>
  <si>
    <t>クルーは出漕に際して統一したユニフォームを用いること。</t>
    <phoneticPr fontId="2"/>
  </si>
  <si>
    <t>（競漕規則第30条）</t>
    <phoneticPr fontId="2"/>
  </si>
  <si>
    <t>（競漕規則第38条）</t>
    <phoneticPr fontId="2"/>
  </si>
  <si>
    <t>発艇について　　　「ツー　ミニッツ」→クルー名の呼称→「アテンション」→発艇旗をあげ→</t>
    <phoneticPr fontId="2"/>
  </si>
  <si>
    <t>「ゴー」の発艇号令を発すると同時に赤旗を振り下ろす。</t>
    <phoneticPr fontId="2"/>
  </si>
  <si>
    <t>（競漕規則第39条）</t>
    <phoneticPr fontId="2"/>
  </si>
  <si>
    <t>（競漕規則第44条）</t>
    <phoneticPr fontId="2"/>
  </si>
  <si>
    <t>警告を発することがある。</t>
    <phoneticPr fontId="2"/>
  </si>
  <si>
    <t>（競漕規則第46条）</t>
    <phoneticPr fontId="2"/>
  </si>
  <si>
    <t>（競漕規則第74条）</t>
    <phoneticPr fontId="2"/>
  </si>
  <si>
    <t>（競漕規則第35条）</t>
    <phoneticPr fontId="2"/>
  </si>
  <si>
    <t>（競漕規則第40条）</t>
    <phoneticPr fontId="2"/>
  </si>
  <si>
    <t>落水が発生した場合、選手の競技継続意志に関係なく即救助。</t>
    <rPh sb="0" eb="2">
      <t>ラクスイ</t>
    </rPh>
    <rPh sb="3" eb="5">
      <t>ハッセイ</t>
    </rPh>
    <rPh sb="7" eb="9">
      <t>バアイ</t>
    </rPh>
    <rPh sb="10" eb="12">
      <t>センシュ</t>
    </rPh>
    <rPh sb="13" eb="15">
      <t>キョウギ</t>
    </rPh>
    <rPh sb="15" eb="17">
      <t>ケイゾク</t>
    </rPh>
    <rPh sb="17" eb="19">
      <t>イシ</t>
    </rPh>
    <rPh sb="20" eb="22">
      <t>カンケイ</t>
    </rPh>
    <rPh sb="24" eb="25">
      <t>ソク</t>
    </rPh>
    <rPh sb="25" eb="27">
      <t>キュウジョ</t>
    </rPh>
    <phoneticPr fontId="2"/>
  </si>
  <si>
    <t>（レース中に救助された場合の判定は途中棄権）ただし、敗者復活戦が設定されている種目で、</t>
    <rPh sb="14" eb="16">
      <t>ハンテイ</t>
    </rPh>
    <rPh sb="26" eb="28">
      <t>ハイシャ</t>
    </rPh>
    <rPh sb="28" eb="31">
      <t>フッカツセン</t>
    </rPh>
    <rPh sb="32" eb="34">
      <t>セッテイ</t>
    </rPh>
    <rPh sb="39" eb="41">
      <t>シュモク</t>
    </rPh>
    <phoneticPr fontId="2"/>
  </si>
  <si>
    <t>予選レース中に落水し救助された場合のみ、敗者復活戦への出場を認めます。</t>
    <rPh sb="11" eb="12">
      <t>タス</t>
    </rPh>
    <rPh sb="20" eb="22">
      <t>ハイシャ</t>
    </rPh>
    <rPh sb="22" eb="25">
      <t>フッカツセン</t>
    </rPh>
    <rPh sb="27" eb="29">
      <t>シュツジョウ</t>
    </rPh>
    <rPh sb="30" eb="31">
      <t>ミト</t>
    </rPh>
    <phoneticPr fontId="2"/>
  </si>
  <si>
    <t>第７０回静岡県高等学校総合体育大会ボート競技（第１次予選）</t>
    <rPh sb="0" eb="1">
      <t>ダイ</t>
    </rPh>
    <rPh sb="3" eb="4">
      <t>カイ</t>
    </rPh>
    <rPh sb="23" eb="24">
      <t>ダイ</t>
    </rPh>
    <rPh sb="25" eb="26">
      <t>ジ</t>
    </rPh>
    <rPh sb="26" eb="28">
      <t>ヨセン</t>
    </rPh>
    <phoneticPr fontId="2"/>
  </si>
  <si>
    <t>第70回静岡県高等学校総合体育大会ボート競技</t>
    <phoneticPr fontId="2"/>
  </si>
  <si>
    <t>令和４年</t>
    <rPh sb="0" eb="1">
      <t>レイ</t>
    </rPh>
    <rPh sb="1" eb="2">
      <t>ワ</t>
    </rPh>
    <rPh sb="3" eb="4">
      <t>トシ</t>
    </rPh>
    <phoneticPr fontId="2"/>
  </si>
  <si>
    <t>予選３組　　　　（あがり１）</t>
  </si>
  <si>
    <t>予選４組　　　　（あがり１）</t>
    <rPh sb="0" eb="2">
      <t>４クミ</t>
    </rPh>
    <phoneticPr fontId="2"/>
  </si>
  <si>
    <t>予選５組　　　　（あがり１）</t>
    <rPh sb="0" eb="2">
      <t>５クミ</t>
    </rPh>
    <phoneticPr fontId="2"/>
  </si>
  <si>
    <t>予選６組　　　　（あがり１）</t>
    <rPh sb="0" eb="2">
      <t>６</t>
    </rPh>
    <phoneticPr fontId="2"/>
  </si>
  <si>
    <t>予選７組　　　　（あがり１）</t>
    <rPh sb="0" eb="2">
      <t>７</t>
    </rPh>
    <phoneticPr fontId="2"/>
  </si>
  <si>
    <t>予選８組　　　　（あがり１）</t>
    <rPh sb="0" eb="2">
      <t>７</t>
    </rPh>
    <phoneticPr fontId="2"/>
  </si>
  <si>
    <t>予選９組　　　　（あがり１）</t>
    <rPh sb="0" eb="2">
      <t>７</t>
    </rPh>
    <phoneticPr fontId="2"/>
  </si>
  <si>
    <t>予選１０組　　　（あがり１）</t>
    <rPh sb="0" eb="2">
      <t>７</t>
    </rPh>
    <phoneticPr fontId="2"/>
  </si>
  <si>
    <t>敗者復活戦１組　（あがり１）</t>
    <rPh sb="0" eb="2">
      <t>ハイシャ</t>
    </rPh>
    <rPh sb="2" eb="5">
      <t>フッカツセン</t>
    </rPh>
    <phoneticPr fontId="2"/>
  </si>
  <si>
    <t>敗者復活戦２組　（あがり１）</t>
    <rPh sb="0" eb="2">
      <t>ハイシャ</t>
    </rPh>
    <rPh sb="2" eb="5">
      <t>フッカツセン</t>
    </rPh>
    <phoneticPr fontId="2"/>
  </si>
  <si>
    <t>敗者復活戦３組　（あがり１）</t>
    <rPh sb="0" eb="2">
      <t>ハイシャ</t>
    </rPh>
    <rPh sb="2" eb="5">
      <t>フッカツセン</t>
    </rPh>
    <phoneticPr fontId="2"/>
  </si>
  <si>
    <t>敗者復活戦４組　（あがり１）</t>
    <rPh sb="0" eb="2">
      <t>ハイシャ</t>
    </rPh>
    <rPh sb="2" eb="5">
      <t>フッカツセン</t>
    </rPh>
    <phoneticPr fontId="2"/>
  </si>
  <si>
    <t>敗者復活戦５組　（あがり１）</t>
    <rPh sb="0" eb="2">
      <t>ハイシャ</t>
    </rPh>
    <rPh sb="2" eb="5">
      <t>フッカツセン</t>
    </rPh>
    <phoneticPr fontId="2"/>
  </si>
  <si>
    <t>敗者復活戦６組　（あがり１）</t>
    <rPh sb="0" eb="2">
      <t>ハイシャ</t>
    </rPh>
    <rPh sb="2" eb="5">
      <t>フッカツセン</t>
    </rPh>
    <phoneticPr fontId="2"/>
  </si>
  <si>
    <t>敗者復活戦７組　（あがり１）</t>
    <rPh sb="0" eb="2">
      <t>ハイシャ</t>
    </rPh>
    <rPh sb="2" eb="5">
      <t>フッカツセン</t>
    </rPh>
    <phoneticPr fontId="2"/>
  </si>
  <si>
    <t>敗者復活戦８組　（あがり１）</t>
    <rPh sb="0" eb="2">
      <t>ハイシャ</t>
    </rPh>
    <rPh sb="2" eb="5">
      <t>フッカツセン</t>
    </rPh>
    <phoneticPr fontId="2"/>
  </si>
  <si>
    <t>準決勝１組　　　（あがり２）</t>
    <rPh sb="0" eb="3">
      <t>１クミ</t>
    </rPh>
    <phoneticPr fontId="2"/>
  </si>
  <si>
    <t>準決勝２組　　　（あがり２）</t>
    <rPh sb="0" eb="1">
      <t>ジュンケッショウ</t>
    </rPh>
    <phoneticPr fontId="2"/>
  </si>
  <si>
    <t>準決勝３組　　　（あがり２）</t>
    <rPh sb="0" eb="1">
      <t>ジュンケッショウ</t>
    </rPh>
    <phoneticPr fontId="2"/>
  </si>
  <si>
    <t>　　４月９日（土）　　　　　　　　　代表者会議　１０：３０　　　　レース開始１１：３０</t>
    <rPh sb="3" eb="4">
      <t>ガツ</t>
    </rPh>
    <rPh sb="7" eb="8">
      <t>ド</t>
    </rPh>
    <phoneticPr fontId="2"/>
  </si>
  <si>
    <t>１組～６組</t>
    <rPh sb="1" eb="2">
      <t>クミ</t>
    </rPh>
    <rPh sb="4" eb="5">
      <t>クミ</t>
    </rPh>
    <phoneticPr fontId="2"/>
  </si>
  <si>
    <t>計18人</t>
    <rPh sb="0" eb="1">
      <t>ケイ</t>
    </rPh>
    <rPh sb="3" eb="4">
      <t>ニン</t>
    </rPh>
    <phoneticPr fontId="2"/>
  </si>
  <si>
    <t>７、８組</t>
    <rPh sb="3" eb="4">
      <t>クミ</t>
    </rPh>
    <phoneticPr fontId="2"/>
  </si>
  <si>
    <t>準決勝敗退</t>
    <rPh sb="0" eb="3">
      <t>ジュンケッショウ</t>
    </rPh>
    <rPh sb="3" eb="5">
      <t>ハイタイ</t>
    </rPh>
    <phoneticPr fontId="2"/>
  </si>
  <si>
    <t>９組</t>
    <rPh sb="1" eb="2">
      <t>クミ</t>
    </rPh>
    <phoneticPr fontId="2"/>
  </si>
  <si>
    <t>10組</t>
    <rPh sb="2" eb="3">
      <t>クミ</t>
    </rPh>
    <phoneticPr fontId="2"/>
  </si>
  <si>
    <t>予2-1</t>
    <rPh sb="0" eb="1">
      <t>ヨ</t>
    </rPh>
    <phoneticPr fontId="2"/>
  </si>
  <si>
    <t>予2-2</t>
    <rPh sb="0" eb="1">
      <t>ヨ</t>
    </rPh>
    <phoneticPr fontId="2"/>
  </si>
  <si>
    <t>予2-3</t>
    <rPh sb="0" eb="1">
      <t>ヨ</t>
    </rPh>
    <phoneticPr fontId="2"/>
  </si>
  <si>
    <t>予2-4</t>
    <rPh sb="0" eb="1">
      <t>ヨ</t>
    </rPh>
    <phoneticPr fontId="2"/>
  </si>
  <si>
    <t>予2-5</t>
    <rPh sb="0" eb="1">
      <t>ヨ</t>
    </rPh>
    <phoneticPr fontId="2"/>
  </si>
  <si>
    <t>予2-6</t>
    <rPh sb="0" eb="1">
      <t>ヨ</t>
    </rPh>
    <phoneticPr fontId="2"/>
  </si>
  <si>
    <t>予2-7</t>
    <rPh sb="0" eb="1">
      <t>ヨ</t>
    </rPh>
    <phoneticPr fontId="2"/>
  </si>
  <si>
    <t>予2-8</t>
    <rPh sb="0" eb="1">
      <t>ヨ</t>
    </rPh>
    <phoneticPr fontId="2"/>
  </si>
  <si>
    <t>予2-9</t>
    <rPh sb="0" eb="1">
      <t>ヨ</t>
    </rPh>
    <phoneticPr fontId="2"/>
  </si>
  <si>
    <t>予2-10</t>
    <rPh sb="0" eb="1">
      <t>ヨ</t>
    </rPh>
    <phoneticPr fontId="2"/>
  </si>
  <si>
    <t>予3-1</t>
    <rPh sb="0" eb="1">
      <t>ヨ</t>
    </rPh>
    <phoneticPr fontId="2"/>
  </si>
  <si>
    <t>予3-2</t>
    <rPh sb="0" eb="1">
      <t>ヨ</t>
    </rPh>
    <phoneticPr fontId="2"/>
  </si>
  <si>
    <t>予3-3</t>
    <rPh sb="0" eb="1">
      <t>ヨ</t>
    </rPh>
    <phoneticPr fontId="2"/>
  </si>
  <si>
    <t>予3-4</t>
    <rPh sb="0" eb="1">
      <t>ヨ</t>
    </rPh>
    <phoneticPr fontId="2"/>
  </si>
  <si>
    <t>予3-5</t>
    <rPh sb="0" eb="1">
      <t>ヨ</t>
    </rPh>
    <phoneticPr fontId="2"/>
  </si>
  <si>
    <t>予3-6</t>
    <rPh sb="0" eb="1">
      <t>ヨ</t>
    </rPh>
    <phoneticPr fontId="2"/>
  </si>
  <si>
    <t>予3-7</t>
    <rPh sb="0" eb="1">
      <t>ヨ</t>
    </rPh>
    <phoneticPr fontId="2"/>
  </si>
  <si>
    <t>予3-8</t>
    <rPh sb="0" eb="1">
      <t>ヨ</t>
    </rPh>
    <phoneticPr fontId="2"/>
  </si>
  <si>
    <t>予3-9</t>
    <rPh sb="0" eb="1">
      <t>ヨ</t>
    </rPh>
    <phoneticPr fontId="2"/>
  </si>
  <si>
    <t>予3-10</t>
    <rPh sb="0" eb="1">
      <t>ヨ</t>
    </rPh>
    <phoneticPr fontId="2"/>
  </si>
  <si>
    <t>予4-1</t>
    <rPh sb="0" eb="1">
      <t>ヨ</t>
    </rPh>
    <phoneticPr fontId="2"/>
  </si>
  <si>
    <t>予4-2</t>
    <rPh sb="0" eb="1">
      <t>ヨ</t>
    </rPh>
    <phoneticPr fontId="2"/>
  </si>
  <si>
    <t>予4-3</t>
    <rPh sb="0" eb="1">
      <t>ヨ</t>
    </rPh>
    <phoneticPr fontId="2"/>
  </si>
  <si>
    <t>予4-4</t>
    <rPh sb="0" eb="1">
      <t>ヨ</t>
    </rPh>
    <phoneticPr fontId="2"/>
  </si>
  <si>
    <t>予4-5</t>
    <rPh sb="0" eb="1">
      <t>ヨ</t>
    </rPh>
    <phoneticPr fontId="2"/>
  </si>
  <si>
    <t>予4-6</t>
    <rPh sb="0" eb="1">
      <t>ヨ</t>
    </rPh>
    <phoneticPr fontId="2"/>
  </si>
  <si>
    <t>予4-7</t>
    <rPh sb="0" eb="1">
      <t>ヨ</t>
    </rPh>
    <phoneticPr fontId="2"/>
  </si>
  <si>
    <t>予4-8</t>
    <rPh sb="0" eb="1">
      <t>ヨ</t>
    </rPh>
    <phoneticPr fontId="2"/>
  </si>
  <si>
    <t>予4-9</t>
    <rPh sb="0" eb="1">
      <t>ヨ</t>
    </rPh>
    <phoneticPr fontId="2"/>
  </si>
  <si>
    <t>予4-10</t>
    <rPh sb="0" eb="1">
      <t>ヨ</t>
    </rPh>
    <phoneticPr fontId="2"/>
  </si>
  <si>
    <t>予5-1</t>
    <rPh sb="0" eb="1">
      <t>ヨ</t>
    </rPh>
    <phoneticPr fontId="2"/>
  </si>
  <si>
    <t>予5-2</t>
    <rPh sb="0" eb="1">
      <t>ヨ</t>
    </rPh>
    <phoneticPr fontId="2"/>
  </si>
  <si>
    <t>予1-3</t>
    <rPh sb="0" eb="1">
      <t>ヨ</t>
    </rPh>
    <phoneticPr fontId="2"/>
  </si>
  <si>
    <t>予1-4</t>
    <rPh sb="0" eb="1">
      <t>ヨ</t>
    </rPh>
    <phoneticPr fontId="2"/>
  </si>
  <si>
    <t>予1-5</t>
    <rPh sb="0" eb="1">
      <t>ヨ</t>
    </rPh>
    <phoneticPr fontId="2"/>
  </si>
  <si>
    <t>予1-6</t>
    <rPh sb="0" eb="1">
      <t>ヨ</t>
    </rPh>
    <phoneticPr fontId="2"/>
  </si>
  <si>
    <t>予1-7</t>
    <rPh sb="0" eb="1">
      <t>ヨ</t>
    </rPh>
    <phoneticPr fontId="2"/>
  </si>
  <si>
    <t>予1-8</t>
    <rPh sb="0" eb="1">
      <t>ヨ</t>
    </rPh>
    <phoneticPr fontId="2"/>
  </si>
  <si>
    <t>予1-9</t>
    <rPh sb="0" eb="1">
      <t>ヨ</t>
    </rPh>
    <phoneticPr fontId="2"/>
  </si>
  <si>
    <t>予1-10</t>
    <rPh sb="0" eb="1">
      <t>ヨ</t>
    </rPh>
    <phoneticPr fontId="2"/>
  </si>
  <si>
    <t>敗1-1</t>
    <rPh sb="0" eb="1">
      <t>ハイ</t>
    </rPh>
    <phoneticPr fontId="2"/>
  </si>
  <si>
    <t>敗1-2</t>
    <rPh sb="0" eb="1">
      <t>ハイ</t>
    </rPh>
    <phoneticPr fontId="2"/>
  </si>
  <si>
    <t>敗1-3</t>
    <rPh sb="0" eb="1">
      <t>ハイ</t>
    </rPh>
    <phoneticPr fontId="2"/>
  </si>
  <si>
    <t>敗1-4</t>
    <rPh sb="0" eb="1">
      <t>ハイ</t>
    </rPh>
    <phoneticPr fontId="2"/>
  </si>
  <si>
    <t>敗1-5</t>
    <rPh sb="0" eb="1">
      <t>ハイ</t>
    </rPh>
    <phoneticPr fontId="2"/>
  </si>
  <si>
    <t>敗1-6</t>
    <rPh sb="0" eb="1">
      <t>ハイ</t>
    </rPh>
    <phoneticPr fontId="2"/>
  </si>
  <si>
    <t>敗1-7</t>
    <rPh sb="0" eb="1">
      <t>ハイ</t>
    </rPh>
    <phoneticPr fontId="2"/>
  </si>
  <si>
    <t>敗1-8</t>
    <rPh sb="0" eb="1">
      <t>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</si>
</sst>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4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u val="double"/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9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6795556505021"/>
        <bgColor indexed="64"/>
      </patternFill>
    </fill>
  </fills>
  <borders count="1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mediumDashed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double">
        <color indexed="8"/>
      </right>
      <top style="thin">
        <color indexed="9"/>
      </top>
      <bottom style="thin">
        <color indexed="9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 style="dashed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/>
      <bottom/>
      <diagonal/>
    </border>
    <border>
      <left/>
      <right style="double">
        <color indexed="8"/>
      </right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/>
      <right/>
      <top style="dashed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double">
        <color indexed="8"/>
      </bottom>
      <diagonal/>
    </border>
    <border>
      <left style="medium">
        <color auto="1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double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/>
      <bottom style="hair">
        <color indexed="8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auto="1"/>
      </left>
      <right style="thin">
        <color indexed="8"/>
      </right>
      <top style="hair">
        <color indexed="8"/>
      </top>
      <bottom style="medium">
        <color auto="1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medium">
        <color auto="1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 style="hair">
        <color auto="1"/>
      </top>
      <bottom style="medium">
        <color auto="1"/>
      </bottom>
      <diagonal/>
    </border>
    <border>
      <left style="thin">
        <color indexed="8"/>
      </left>
      <right style="double">
        <color indexed="8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 style="hair">
        <color indexed="8"/>
      </top>
      <bottom style="hair">
        <color auto="1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double">
        <color indexed="8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/>
    <xf numFmtId="0" fontId="9" fillId="0" borderId="0" xfId="0" applyFont="1" applyAlignment="1"/>
    <xf numFmtId="0" fontId="13" fillId="0" borderId="0" xfId="0" applyFont="1"/>
    <xf numFmtId="0" fontId="1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distributed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0" fontId="9" fillId="0" borderId="0" xfId="0" applyNumberFormat="1" applyFont="1" applyAlignment="1">
      <alignment horizontal="left"/>
    </xf>
    <xf numFmtId="0" fontId="9" fillId="0" borderId="0" xfId="0" applyFont="1" applyBorder="1" applyAlignment="1"/>
    <xf numFmtId="56" fontId="9" fillId="0" borderId="0" xfId="0" applyNumberFormat="1" applyFont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29" xfId="0" applyFont="1" applyBorder="1"/>
    <xf numFmtId="0" fontId="9" fillId="0" borderId="30" xfId="0" applyFont="1" applyBorder="1" applyAlignment="1">
      <alignment horizontal="left"/>
    </xf>
    <xf numFmtId="0" fontId="9" fillId="0" borderId="31" xfId="0" applyFont="1" applyBorder="1"/>
    <xf numFmtId="0" fontId="9" fillId="0" borderId="32" xfId="0" applyFont="1" applyBorder="1"/>
    <xf numFmtId="0" fontId="9" fillId="0" borderId="3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7" xfId="0" applyFont="1" applyBorder="1"/>
    <xf numFmtId="0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20" fontId="9" fillId="0" borderId="0" xfId="0" applyNumberFormat="1" applyFont="1" applyAlignment="1"/>
    <xf numFmtId="20" fontId="9" fillId="0" borderId="0" xfId="0" applyNumberFormat="1" applyFont="1" applyBorder="1" applyAlignment="1">
      <alignment horizontal="left"/>
    </xf>
    <xf numFmtId="20" fontId="9" fillId="0" borderId="0" xfId="0" applyNumberFormat="1" applyFont="1"/>
    <xf numFmtId="56" fontId="9" fillId="0" borderId="0" xfId="0" applyNumberFormat="1" applyFont="1" applyAlignment="1">
      <alignment horizontal="right"/>
    </xf>
    <xf numFmtId="0" fontId="9" fillId="0" borderId="33" xfId="0" applyFont="1" applyBorder="1"/>
    <xf numFmtId="0" fontId="9" fillId="0" borderId="34" xfId="0" applyFont="1" applyBorder="1" applyAlignment="1">
      <alignment horizontal="left"/>
    </xf>
    <xf numFmtId="0" fontId="10" fillId="0" borderId="0" xfId="0" applyFont="1" applyAlignment="1">
      <alignment horizontal="left"/>
    </xf>
    <xf numFmtId="20" fontId="9" fillId="0" borderId="0" xfId="0" applyNumberFormat="1" applyFont="1" applyAlignment="1">
      <alignment horizontal="center"/>
    </xf>
    <xf numFmtId="0" fontId="6" fillId="0" borderId="0" xfId="0" applyFont="1"/>
    <xf numFmtId="0" fontId="19" fillId="0" borderId="0" xfId="0" applyFont="1"/>
    <xf numFmtId="0" fontId="0" fillId="0" borderId="0" xfId="0" applyFill="1" applyAlignment="1">
      <alignment horizontal="center"/>
    </xf>
    <xf numFmtId="56" fontId="9" fillId="0" borderId="0" xfId="0" applyNumberFormat="1" applyFont="1" applyAlignment="1">
      <alignment shrinkToFit="1"/>
    </xf>
    <xf numFmtId="56" fontId="9" fillId="0" borderId="0" xfId="0" applyNumberFormat="1" applyFont="1" applyBorder="1" applyAlignment="1">
      <alignment shrinkToFit="1"/>
    </xf>
    <xf numFmtId="0" fontId="10" fillId="0" borderId="0" xfId="0" applyFont="1" applyBorder="1" applyAlignment="1">
      <alignment horizontal="left"/>
    </xf>
    <xf numFmtId="0" fontId="9" fillId="0" borderId="14" xfId="0" applyFont="1" applyBorder="1"/>
    <xf numFmtId="0" fontId="2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20" fontId="9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12" fillId="0" borderId="0" xfId="0" applyFont="1" applyAlignment="1">
      <alignment vertical="center"/>
    </xf>
    <xf numFmtId="0" fontId="0" fillId="0" borderId="17" xfId="0" applyBorder="1"/>
    <xf numFmtId="0" fontId="0" fillId="0" borderId="0" xfId="0" applyBorder="1" applyAlignment="1">
      <alignment horizontal="left"/>
    </xf>
    <xf numFmtId="0" fontId="0" fillId="0" borderId="0" xfId="0" applyFont="1" applyFill="1" applyBorder="1" applyAlignme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shrinkToFit="1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0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/>
    <xf numFmtId="0" fontId="24" fillId="0" borderId="0" xfId="0" applyFont="1"/>
    <xf numFmtId="0" fontId="27" fillId="0" borderId="0" xfId="0" applyFont="1" applyFill="1"/>
    <xf numFmtId="0" fontId="27" fillId="0" borderId="0" xfId="0" applyFont="1"/>
    <xf numFmtId="0" fontId="28" fillId="0" borderId="0" xfId="0" applyFont="1"/>
    <xf numFmtId="0" fontId="28" fillId="0" borderId="0" xfId="0" applyFont="1" applyBorder="1" applyAlignment="1">
      <alignment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4" fillId="0" borderId="15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right"/>
    </xf>
    <xf numFmtId="0" fontId="31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56" fontId="9" fillId="0" borderId="0" xfId="0" applyNumberFormat="1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/>
    <xf numFmtId="0" fontId="9" fillId="0" borderId="14" xfId="0" applyFont="1" applyBorder="1" applyAlignment="1">
      <alignment horizontal="left"/>
    </xf>
    <xf numFmtId="56" fontId="9" fillId="0" borderId="0" xfId="0" applyNumberFormat="1" applyFont="1" applyBorder="1" applyAlignment="1"/>
    <xf numFmtId="0" fontId="9" fillId="0" borderId="0" xfId="0" applyFont="1" applyAlignment="1">
      <alignment horizontal="center" vertical="center"/>
    </xf>
    <xf numFmtId="20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56" fontId="9" fillId="0" borderId="0" xfId="0" applyNumberFormat="1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0" xfId="0" applyFont="1" applyAlignment="1"/>
    <xf numFmtId="0" fontId="26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62" xfId="0" applyBorder="1"/>
    <xf numFmtId="0" fontId="0" fillId="0" borderId="61" xfId="0" applyBorder="1"/>
    <xf numFmtId="0" fontId="0" fillId="0" borderId="30" xfId="0" applyBorder="1"/>
    <xf numFmtId="0" fontId="0" fillId="0" borderId="14" xfId="0" applyBorder="1"/>
    <xf numFmtId="0" fontId="0" fillId="0" borderId="33" xfId="0" applyBorder="1"/>
    <xf numFmtId="0" fontId="0" fillId="0" borderId="64" xfId="0" applyBorder="1"/>
    <xf numFmtId="0" fontId="0" fillId="0" borderId="65" xfId="0" applyBorder="1"/>
    <xf numFmtId="0" fontId="0" fillId="0" borderId="3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2" xfId="0" applyBorder="1" applyAlignment="1">
      <alignment horizontal="right"/>
    </xf>
    <xf numFmtId="0" fontId="0" fillId="0" borderId="15" xfId="0" applyBorder="1"/>
    <xf numFmtId="0" fontId="9" fillId="0" borderId="61" xfId="0" applyFont="1" applyBorder="1"/>
    <xf numFmtId="0" fontId="9" fillId="0" borderId="66" xfId="0" applyFont="1" applyBorder="1"/>
    <xf numFmtId="0" fontId="9" fillId="0" borderId="0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/>
    </xf>
    <xf numFmtId="0" fontId="15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73" xfId="0" applyBorder="1"/>
    <xf numFmtId="0" fontId="16" fillId="0" borderId="0" xfId="0" applyFont="1" applyAlignment="1">
      <alignment vertical="center"/>
    </xf>
    <xf numFmtId="0" fontId="0" fillId="0" borderId="74" xfId="0" applyBorder="1"/>
    <xf numFmtId="0" fontId="0" fillId="0" borderId="75" xfId="0" applyBorder="1"/>
    <xf numFmtId="0" fontId="17" fillId="2" borderId="0" xfId="0" applyFont="1" applyFill="1"/>
    <xf numFmtId="0" fontId="36" fillId="2" borderId="0" xfId="0" applyFont="1" applyFill="1" applyAlignment="1">
      <alignment horizontal="right" vertical="center"/>
    </xf>
    <xf numFmtId="0" fontId="36" fillId="2" borderId="73" xfId="0" applyFont="1" applyFill="1" applyBorder="1"/>
    <xf numFmtId="0" fontId="36" fillId="2" borderId="0" xfId="0" applyFont="1" applyFill="1"/>
    <xf numFmtId="0" fontId="18" fillId="2" borderId="0" xfId="0" applyFont="1" applyFill="1" applyAlignment="1">
      <alignment horizontal="right" vertical="center"/>
    </xf>
    <xf numFmtId="0" fontId="18" fillId="2" borderId="73" xfId="0" applyFont="1" applyFill="1" applyBorder="1"/>
    <xf numFmtId="0" fontId="18" fillId="2" borderId="0" xfId="0" applyFont="1" applyFill="1"/>
    <xf numFmtId="0" fontId="0" fillId="2" borderId="0" xfId="0" applyFill="1"/>
    <xf numFmtId="0" fontId="17" fillId="2" borderId="76" xfId="0" applyFont="1" applyFill="1" applyBorder="1"/>
    <xf numFmtId="0" fontId="36" fillId="2" borderId="76" xfId="0" applyFont="1" applyFill="1" applyBorder="1" applyAlignment="1">
      <alignment horizontal="right" vertical="center"/>
    </xf>
    <xf numFmtId="0" fontId="36" fillId="2" borderId="77" xfId="0" applyFont="1" applyFill="1" applyBorder="1"/>
    <xf numFmtId="0" fontId="36" fillId="2" borderId="76" xfId="0" applyFont="1" applyFill="1" applyBorder="1"/>
    <xf numFmtId="0" fontId="18" fillId="2" borderId="76" xfId="0" applyFont="1" applyFill="1" applyBorder="1" applyAlignment="1">
      <alignment horizontal="right" vertical="center"/>
    </xf>
    <xf numFmtId="0" fontId="18" fillId="2" borderId="77" xfId="0" applyFont="1" applyFill="1" applyBorder="1"/>
    <xf numFmtId="0" fontId="18" fillId="2" borderId="76" xfId="0" applyFont="1" applyFill="1" applyBorder="1"/>
    <xf numFmtId="0" fontId="0" fillId="2" borderId="76" xfId="0" applyFill="1" applyBorder="1"/>
    <xf numFmtId="0" fontId="17" fillId="2" borderId="78" xfId="0" applyFont="1" applyFill="1" applyBorder="1"/>
    <xf numFmtId="0" fontId="36" fillId="2" borderId="78" xfId="0" applyFont="1" applyFill="1" applyBorder="1" applyAlignment="1">
      <alignment horizontal="right" vertical="center"/>
    </xf>
    <xf numFmtId="0" fontId="36" fillId="2" borderId="79" xfId="0" applyFont="1" applyFill="1" applyBorder="1"/>
    <xf numFmtId="0" fontId="36" fillId="2" borderId="78" xfId="0" applyFont="1" applyFill="1" applyBorder="1"/>
    <xf numFmtId="0" fontId="18" fillId="2" borderId="78" xfId="0" applyFont="1" applyFill="1" applyBorder="1" applyAlignment="1">
      <alignment horizontal="right" vertical="center"/>
    </xf>
    <xf numFmtId="0" fontId="18" fillId="2" borderId="79" xfId="0" applyFont="1" applyFill="1" applyBorder="1"/>
    <xf numFmtId="0" fontId="18" fillId="2" borderId="78" xfId="0" applyFont="1" applyFill="1" applyBorder="1"/>
    <xf numFmtId="0" fontId="0" fillId="2" borderId="78" xfId="0" applyFill="1" applyBorder="1"/>
    <xf numFmtId="0" fontId="0" fillId="2" borderId="80" xfId="0" applyFill="1" applyBorder="1"/>
    <xf numFmtId="0" fontId="6" fillId="2" borderId="80" xfId="0" applyFont="1" applyFill="1" applyBorder="1" applyAlignment="1">
      <alignment horizontal="right" vertical="center"/>
    </xf>
    <xf numFmtId="0" fontId="0" fillId="2" borderId="81" xfId="0" applyFill="1" applyBorder="1"/>
    <xf numFmtId="0" fontId="6" fillId="0" borderId="80" xfId="0" applyFont="1" applyBorder="1" applyAlignment="1">
      <alignment horizontal="right" vertical="center"/>
    </xf>
    <xf numFmtId="0" fontId="0" fillId="0" borderId="81" xfId="0" applyBorder="1"/>
    <xf numFmtId="0" fontId="0" fillId="0" borderId="80" xfId="0" applyBorder="1"/>
    <xf numFmtId="0" fontId="6" fillId="0" borderId="81" xfId="0" applyFont="1" applyBorder="1"/>
    <xf numFmtId="0" fontId="0" fillId="2" borderId="82" xfId="0" applyFill="1" applyBorder="1"/>
    <xf numFmtId="0" fontId="6" fillId="2" borderId="82" xfId="0" applyFont="1" applyFill="1" applyBorder="1" applyAlignment="1">
      <alignment horizontal="right" vertical="center"/>
    </xf>
    <xf numFmtId="0" fontId="0" fillId="2" borderId="83" xfId="0" applyFill="1" applyBorder="1"/>
    <xf numFmtId="0" fontId="6" fillId="0" borderId="82" xfId="0" applyFont="1" applyBorder="1" applyAlignment="1">
      <alignment horizontal="right" vertical="center"/>
    </xf>
    <xf numFmtId="0" fontId="0" fillId="0" borderId="83" xfId="0" applyBorder="1"/>
    <xf numFmtId="0" fontId="0" fillId="0" borderId="82" xfId="0" applyBorder="1"/>
    <xf numFmtId="0" fontId="6" fillId="0" borderId="83" xfId="0" applyFont="1" applyBorder="1"/>
    <xf numFmtId="0" fontId="0" fillId="0" borderId="84" xfId="0" applyBorder="1"/>
    <xf numFmtId="0" fontId="0" fillId="0" borderId="66" xfId="0" applyBorder="1"/>
    <xf numFmtId="0" fontId="0" fillId="0" borderId="32" xfId="0" applyBorder="1"/>
    <xf numFmtId="0" fontId="0" fillId="0" borderId="84" xfId="0" applyBorder="1" applyAlignment="1">
      <alignment horizontal="right"/>
    </xf>
    <xf numFmtId="0" fontId="0" fillId="0" borderId="86" xfId="0" applyBorder="1"/>
    <xf numFmtId="0" fontId="37" fillId="0" borderId="0" xfId="0" applyFont="1"/>
    <xf numFmtId="0" fontId="6" fillId="0" borderId="84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0" fillId="0" borderId="87" xfId="0" applyBorder="1"/>
    <xf numFmtId="0" fontId="0" fillId="0" borderId="88" xfId="0" applyBorder="1"/>
    <xf numFmtId="0" fontId="6" fillId="0" borderId="0" xfId="0" applyFont="1" applyAlignment="1">
      <alignment horizontal="right" vertical="center"/>
    </xf>
    <xf numFmtId="0" fontId="6" fillId="0" borderId="73" xfId="0" applyFont="1" applyBorder="1"/>
    <xf numFmtId="0" fontId="0" fillId="0" borderId="89" xfId="0" applyBorder="1"/>
    <xf numFmtId="0" fontId="6" fillId="0" borderId="74" xfId="0" applyFont="1" applyBorder="1" applyAlignment="1">
      <alignment horizontal="right" vertical="center"/>
    </xf>
    <xf numFmtId="0" fontId="0" fillId="2" borderId="74" xfId="0" applyFill="1" applyBorder="1"/>
    <xf numFmtId="0" fontId="18" fillId="2" borderId="74" xfId="0" applyFont="1" applyFill="1" applyBorder="1"/>
    <xf numFmtId="0" fontId="18" fillId="2" borderId="75" xfId="0" applyFont="1" applyFill="1" applyBorder="1"/>
    <xf numFmtId="0" fontId="18" fillId="2" borderId="90" xfId="0" applyFont="1" applyFill="1" applyBorder="1"/>
    <xf numFmtId="0" fontId="6" fillId="2" borderId="78" xfId="0" applyFont="1" applyFill="1" applyBorder="1"/>
    <xf numFmtId="0" fontId="6" fillId="0" borderId="78" xfId="0" applyFont="1" applyBorder="1"/>
    <xf numFmtId="0" fontId="18" fillId="0" borderId="78" xfId="0" applyFont="1" applyBorder="1"/>
    <xf numFmtId="0" fontId="6" fillId="0" borderId="78" xfId="0" applyFont="1" applyBorder="1" applyAlignment="1">
      <alignment horizontal="right"/>
    </xf>
    <xf numFmtId="0" fontId="18" fillId="0" borderId="91" xfId="0" applyFont="1" applyBorder="1" applyAlignment="1">
      <alignment vertical="center"/>
    </xf>
    <xf numFmtId="0" fontId="18" fillId="0" borderId="92" xfId="0" applyFont="1" applyBorder="1" applyAlignment="1">
      <alignment vertical="center"/>
    </xf>
    <xf numFmtId="0" fontId="6" fillId="0" borderId="79" xfId="0" applyFont="1" applyBorder="1"/>
    <xf numFmtId="0" fontId="0" fillId="0" borderId="78" xfId="0" applyBorder="1"/>
    <xf numFmtId="0" fontId="6" fillId="2" borderId="80" xfId="0" applyFont="1" applyFill="1" applyBorder="1"/>
    <xf numFmtId="0" fontId="18" fillId="2" borderId="81" xfId="0" applyFont="1" applyFill="1" applyBorder="1"/>
    <xf numFmtId="0" fontId="6" fillId="0" borderId="80" xfId="0" applyFont="1" applyBorder="1"/>
    <xf numFmtId="0" fontId="18" fillId="0" borderId="80" xfId="0" applyFont="1" applyBorder="1" applyAlignment="1">
      <alignment vertical="center"/>
    </xf>
    <xf numFmtId="0" fontId="18" fillId="0" borderId="81" xfId="0" applyFont="1" applyBorder="1" applyAlignment="1">
      <alignment vertical="center"/>
    </xf>
    <xf numFmtId="0" fontId="18" fillId="0" borderId="80" xfId="0" applyFont="1" applyBorder="1"/>
    <xf numFmtId="0" fontId="6" fillId="0" borderId="0" xfId="0" applyFont="1" applyAlignment="1">
      <alignment horizontal="left" vertical="center"/>
    </xf>
    <xf numFmtId="0" fontId="6" fillId="0" borderId="80" xfId="0" applyFont="1" applyBorder="1" applyAlignment="1">
      <alignment horizontal="right"/>
    </xf>
    <xf numFmtId="0" fontId="6" fillId="2" borderId="82" xfId="0" applyFont="1" applyFill="1" applyBorder="1"/>
    <xf numFmtId="0" fontId="6" fillId="0" borderId="82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10" fillId="0" borderId="68" xfId="0" applyFont="1" applyBorder="1" applyAlignment="1">
      <alignment vertical="center"/>
    </xf>
    <xf numFmtId="0" fontId="0" fillId="0" borderId="68" xfId="0" applyBorder="1"/>
    <xf numFmtId="0" fontId="10" fillId="0" borderId="68" xfId="0" applyFont="1" applyBorder="1" applyAlignment="1">
      <alignment horizontal="center" vertical="center"/>
    </xf>
    <xf numFmtId="0" fontId="10" fillId="0" borderId="68" xfId="0" quotePrefix="1" applyFon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67" xfId="0" applyBorder="1"/>
    <xf numFmtId="0" fontId="0" fillId="0" borderId="93" xfId="0" applyBorder="1"/>
    <xf numFmtId="0" fontId="0" fillId="0" borderId="94" xfId="0" applyBorder="1"/>
    <xf numFmtId="0" fontId="11" fillId="0" borderId="0" xfId="0" applyFont="1" applyAlignment="1">
      <alignment horizontal="center"/>
    </xf>
    <xf numFmtId="0" fontId="0" fillId="0" borderId="99" xfId="0" applyBorder="1" applyAlignment="1">
      <alignment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20" fontId="0" fillId="0" borderId="104" xfId="0" applyNumberFormat="1" applyBorder="1" applyAlignment="1">
      <alignment horizontal="center" vertical="center"/>
    </xf>
    <xf numFmtId="0" fontId="0" fillId="0" borderId="105" xfId="0" applyBorder="1" applyAlignment="1">
      <alignment vertical="center"/>
    </xf>
    <xf numFmtId="0" fontId="0" fillId="0" borderId="106" xfId="0" applyBorder="1" applyAlignment="1">
      <alignment vertical="center"/>
    </xf>
    <xf numFmtId="0" fontId="0" fillId="0" borderId="107" xfId="0" applyBorder="1" applyAlignment="1">
      <alignment horizontal="center" vertical="center"/>
    </xf>
    <xf numFmtId="20" fontId="0" fillId="0" borderId="108" xfId="0" applyNumberFormat="1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vertical="center"/>
    </xf>
    <xf numFmtId="0" fontId="0" fillId="0" borderId="113" xfId="0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115" xfId="0" applyBorder="1" applyAlignment="1">
      <alignment horizontal="center" vertical="center"/>
    </xf>
    <xf numFmtId="20" fontId="0" fillId="0" borderId="116" xfId="0" applyNumberFormat="1" applyBorder="1" applyAlignment="1">
      <alignment horizontal="center" vertical="center"/>
    </xf>
    <xf numFmtId="0" fontId="0" fillId="0" borderId="117" xfId="0" applyBorder="1" applyAlignment="1">
      <alignment vertical="center"/>
    </xf>
    <xf numFmtId="0" fontId="0" fillId="0" borderId="118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0" fillId="0" borderId="121" xfId="0" applyBorder="1" applyAlignment="1">
      <alignment horizontal="center" vertical="center"/>
    </xf>
    <xf numFmtId="20" fontId="0" fillId="0" borderId="122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Font="1" applyAlignment="1">
      <alignment horizontal="left"/>
    </xf>
    <xf numFmtId="56" fontId="9" fillId="0" borderId="0" xfId="0" applyNumberFormat="1" applyFont="1" applyBorder="1" applyAlignment="1"/>
    <xf numFmtId="0" fontId="9" fillId="0" borderId="94" xfId="0" applyFont="1" applyBorder="1"/>
    <xf numFmtId="0" fontId="9" fillId="0" borderId="93" xfId="0" applyFont="1" applyBorder="1"/>
    <xf numFmtId="0" fontId="9" fillId="0" borderId="124" xfId="0" applyFont="1" applyBorder="1"/>
    <xf numFmtId="0" fontId="9" fillId="0" borderId="123" xfId="0" applyFont="1" applyBorder="1"/>
    <xf numFmtId="0" fontId="0" fillId="0" borderId="65" xfId="0" applyBorder="1" applyAlignment="1">
      <alignment vertical="center"/>
    </xf>
    <xf numFmtId="0" fontId="0" fillId="0" borderId="125" xfId="0" applyBorder="1" applyAlignment="1">
      <alignment vertical="center"/>
    </xf>
    <xf numFmtId="0" fontId="0" fillId="0" borderId="95" xfId="0" applyBorder="1" applyAlignment="1">
      <alignment vertical="center"/>
    </xf>
    <xf numFmtId="0" fontId="9" fillId="0" borderId="123" xfId="0" applyFont="1" applyBorder="1" applyAlignment="1">
      <alignment horizontal="left"/>
    </xf>
    <xf numFmtId="0" fontId="9" fillId="0" borderId="124" xfId="0" applyFont="1" applyBorder="1" applyAlignment="1">
      <alignment horizontal="left"/>
    </xf>
    <xf numFmtId="0" fontId="0" fillId="0" borderId="126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56" fontId="9" fillId="0" borderId="0" xfId="0" applyNumberFormat="1" applyFont="1" applyBorder="1" applyAlignment="1"/>
    <xf numFmtId="0" fontId="9" fillId="0" borderId="127" xfId="0" applyFont="1" applyBorder="1"/>
    <xf numFmtId="0" fontId="9" fillId="0" borderId="128" xfId="0" applyFont="1" applyBorder="1"/>
    <xf numFmtId="20" fontId="9" fillId="0" borderId="0" xfId="0" applyNumberFormat="1" applyFont="1" applyBorder="1"/>
    <xf numFmtId="0" fontId="3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6" fontId="9" fillId="0" borderId="0" xfId="0" applyNumberFormat="1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0" fontId="0" fillId="0" borderId="130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20" fontId="0" fillId="0" borderId="132" xfId="0" applyNumberForma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20" fontId="0" fillId="0" borderId="134" xfId="0" applyNumberFormat="1" applyBorder="1" applyAlignment="1">
      <alignment horizontal="center" vertical="center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shrinkToFit="1"/>
    </xf>
    <xf numFmtId="0" fontId="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distributed" vertical="center"/>
    </xf>
    <xf numFmtId="0" fontId="0" fillId="4" borderId="119" xfId="0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12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96" xfId="0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0" fontId="6" fillId="0" borderId="98" xfId="0" applyFont="1" applyBorder="1" applyAlignment="1">
      <alignment vertic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20" fontId="6" fillId="0" borderId="96" xfId="0" applyNumberFormat="1" applyFont="1" applyBorder="1" applyAlignment="1">
      <alignment horizontal="left" vertical="center"/>
    </xf>
    <xf numFmtId="20" fontId="6" fillId="0" borderId="97" xfId="0" applyNumberFormat="1" applyFont="1" applyBorder="1" applyAlignment="1">
      <alignment horizontal="left" vertical="center"/>
    </xf>
    <xf numFmtId="20" fontId="6" fillId="0" borderId="98" xfId="0" applyNumberFormat="1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56" fontId="9" fillId="0" borderId="0" xfId="0" applyNumberFormat="1" applyFont="1" applyBorder="1" applyAlignment="1"/>
    <xf numFmtId="0" fontId="28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8" fillId="2" borderId="76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0" fillId="0" borderId="95" xfId="0" applyBorder="1" applyAlignment="1">
      <alignment horizont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8" xfId="0" applyBorder="1" applyAlignment="1">
      <alignment horizontal="center"/>
    </xf>
    <xf numFmtId="0" fontId="10" fillId="0" borderId="68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10" fillId="0" borderId="6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6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61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6BDA50C-35A3-4B58-A1EE-28B8C92DA8E3}"/>
            </a:ext>
          </a:extLst>
        </xdr:cNvPr>
        <xdr:cNvSpPr>
          <a:spLocks noChangeShapeType="1"/>
        </xdr:cNvSpPr>
      </xdr:nvSpPr>
      <xdr:spPr bwMode="auto">
        <a:xfrm>
          <a:off x="179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4D39C95-90A0-4EF0-A866-0E294DECD76B}"/>
            </a:ext>
          </a:extLst>
        </xdr:cNvPr>
        <xdr:cNvSpPr>
          <a:spLocks noChangeShapeType="1"/>
        </xdr:cNvSpPr>
      </xdr:nvSpPr>
      <xdr:spPr bwMode="auto">
        <a:xfrm>
          <a:off x="5505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cxnSp macro="">
      <xdr:nvCxnSpPr>
        <xdr:cNvPr id="4" name="AutoShape 3">
          <a:extLst>
            <a:ext uri="{FF2B5EF4-FFF2-40B4-BE49-F238E27FC236}">
              <a16:creationId xmlns:a16="http://schemas.microsoft.com/office/drawing/2014/main" id="{F5E32CBA-9E3F-4A4A-B5FB-F0C103765D1C}"/>
            </a:ext>
          </a:extLst>
        </xdr:cNvPr>
        <xdr:cNvCxnSpPr>
          <a:cxnSpLocks noChangeShapeType="1"/>
          <a:stCxn id="2" idx="1"/>
        </xdr:cNvCxnSpPr>
      </xdr:nvCxnSpPr>
      <xdr:spPr bwMode="auto">
        <a:xfrm>
          <a:off x="1790700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C39EFF4-062C-4123-92BB-CE92ED45DE53}"/>
            </a:ext>
          </a:extLst>
        </xdr:cNvPr>
        <xdr:cNvSpPr>
          <a:spLocks noChangeShapeType="1"/>
        </xdr:cNvSpPr>
      </xdr:nvSpPr>
      <xdr:spPr bwMode="auto">
        <a:xfrm>
          <a:off x="5505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43E9B8B-6125-4820-ADAE-007B55012E4A}"/>
            </a:ext>
          </a:extLst>
        </xdr:cNvPr>
        <xdr:cNvSpPr>
          <a:spLocks noChangeShapeType="1"/>
        </xdr:cNvSpPr>
      </xdr:nvSpPr>
      <xdr:spPr bwMode="auto">
        <a:xfrm>
          <a:off x="6696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6ED7B94E-DF8D-4755-8026-D0D00765C2D9}"/>
            </a:ext>
          </a:extLst>
        </xdr:cNvPr>
        <xdr:cNvSpPr>
          <a:spLocks noChangeShapeType="1"/>
        </xdr:cNvSpPr>
      </xdr:nvSpPr>
      <xdr:spPr bwMode="auto">
        <a:xfrm>
          <a:off x="6696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75FABA15-AB82-4B20-A7F4-44ABE2B5CA6E}"/>
            </a:ext>
          </a:extLst>
        </xdr:cNvPr>
        <xdr:cNvSpPr>
          <a:spLocks noChangeShapeType="1"/>
        </xdr:cNvSpPr>
      </xdr:nvSpPr>
      <xdr:spPr bwMode="auto">
        <a:xfrm>
          <a:off x="179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F22DF0BB-789F-4733-9BC8-38B2FD46879F}"/>
            </a:ext>
          </a:extLst>
        </xdr:cNvPr>
        <xdr:cNvSpPr>
          <a:spLocks noChangeShapeType="1"/>
        </xdr:cNvSpPr>
      </xdr:nvSpPr>
      <xdr:spPr bwMode="auto">
        <a:xfrm>
          <a:off x="5505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19050</xdr:rowOff>
    </xdr:from>
    <xdr:to>
      <xdr:col>15</xdr:col>
      <xdr:colOff>352425</xdr:colOff>
      <xdr:row>24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336CD4BC-46E9-4748-A760-E10A1BCB039A}"/>
            </a:ext>
          </a:extLst>
        </xdr:cNvPr>
        <xdr:cNvSpPr>
          <a:spLocks/>
        </xdr:cNvSpPr>
      </xdr:nvSpPr>
      <xdr:spPr bwMode="auto">
        <a:xfrm>
          <a:off x="7791450" y="971550"/>
          <a:ext cx="2362200" cy="3238500"/>
        </a:xfrm>
        <a:custGeom>
          <a:avLst/>
          <a:gdLst>
            <a:gd name="T0" fmla="*/ 0 w 251"/>
            <a:gd name="T1" fmla="*/ 2147483646 h 343"/>
            <a:gd name="T2" fmla="*/ 1814512500 w 251"/>
            <a:gd name="T3" fmla="*/ 2147483646 h 343"/>
            <a:gd name="T4" fmla="*/ 2147483646 w 251"/>
            <a:gd name="T5" fmla="*/ 2147483646 h 343"/>
            <a:gd name="T6" fmla="*/ 2147483646 w 251"/>
            <a:gd name="T7" fmla="*/ 2147483646 h 343"/>
            <a:gd name="T8" fmla="*/ 2147483646 w 251"/>
            <a:gd name="T9" fmla="*/ 2147483646 h 343"/>
            <a:gd name="T10" fmla="*/ 2147483646 w 251"/>
            <a:gd name="T11" fmla="*/ 2147483646 h 343"/>
            <a:gd name="T12" fmla="*/ 2147483646 w 251"/>
            <a:gd name="T13" fmla="*/ 2147483646 h 343"/>
            <a:gd name="T14" fmla="*/ 2147483646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200025</xdr:colOff>
      <xdr:row>24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B7FB4F5-0C20-4D45-92E5-CD3046E6A964}"/>
            </a:ext>
          </a:extLst>
        </xdr:cNvPr>
        <xdr:cNvSpPr>
          <a:spLocks noChangeShapeType="1"/>
        </xdr:cNvSpPr>
      </xdr:nvSpPr>
      <xdr:spPr bwMode="auto">
        <a:xfrm>
          <a:off x="6619875" y="421005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24</xdr:row>
      <xdr:rowOff>0</xdr:rowOff>
    </xdr:from>
    <xdr:to>
      <xdr:col>8</xdr:col>
      <xdr:colOff>219075</xdr:colOff>
      <xdr:row>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5E8E906-BCBD-47F4-AF69-1B657329EFA1}"/>
            </a:ext>
          </a:extLst>
        </xdr:cNvPr>
        <xdr:cNvSpPr>
          <a:spLocks noChangeShapeType="1"/>
        </xdr:cNvSpPr>
      </xdr:nvSpPr>
      <xdr:spPr bwMode="auto">
        <a:xfrm>
          <a:off x="4171950" y="4210050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28575</xdr:rowOff>
    </xdr:from>
    <xdr:to>
      <xdr:col>6</xdr:col>
      <xdr:colOff>209550</xdr:colOff>
      <xdr:row>23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6A4D285-E36C-479C-A9D9-334CD27DFB24}"/>
            </a:ext>
          </a:extLst>
        </xdr:cNvPr>
        <xdr:cNvSpPr>
          <a:spLocks noChangeArrowheads="1"/>
        </xdr:cNvSpPr>
      </xdr:nvSpPr>
      <xdr:spPr bwMode="auto">
        <a:xfrm>
          <a:off x="3714750" y="3895725"/>
          <a:ext cx="2095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533400</xdr:colOff>
      <xdr:row>22</xdr:row>
      <xdr:rowOff>28575</xdr:rowOff>
    </xdr:from>
    <xdr:to>
      <xdr:col>7</xdr:col>
      <xdr:colOff>57150</xdr:colOff>
      <xdr:row>24</xdr:row>
      <xdr:rowOff>19050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11D4960-FBBE-41C7-89D0-5B66398BB105}"/>
            </a:ext>
          </a:extLst>
        </xdr:cNvPr>
        <xdr:cNvSpPr>
          <a:spLocks noChangeArrowheads="1"/>
        </xdr:cNvSpPr>
      </xdr:nvSpPr>
      <xdr:spPr bwMode="auto">
        <a:xfrm>
          <a:off x="4248150" y="3895725"/>
          <a:ext cx="2000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22</xdr:row>
      <xdr:rowOff>28575</xdr:rowOff>
    </xdr:from>
    <xdr:to>
      <xdr:col>7</xdr:col>
      <xdr:colOff>371475</xdr:colOff>
      <xdr:row>24</xdr:row>
      <xdr:rowOff>28575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26557C6-DCE7-4A71-96F4-68163ED1A784}"/>
            </a:ext>
          </a:extLst>
        </xdr:cNvPr>
        <xdr:cNvSpPr>
          <a:spLocks noChangeArrowheads="1"/>
        </xdr:cNvSpPr>
      </xdr:nvSpPr>
      <xdr:spPr bwMode="auto">
        <a:xfrm>
          <a:off x="4552950" y="3895725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22</xdr:row>
      <xdr:rowOff>19050</xdr:rowOff>
    </xdr:from>
    <xdr:to>
      <xdr:col>7</xdr:col>
      <xdr:colOff>647700</xdr:colOff>
      <xdr:row>24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A6C14B1-F3CE-4B08-8B87-FB397CD458C9}"/>
            </a:ext>
          </a:extLst>
        </xdr:cNvPr>
        <xdr:cNvSpPr>
          <a:spLocks noChangeArrowheads="1"/>
        </xdr:cNvSpPr>
      </xdr:nvSpPr>
      <xdr:spPr bwMode="auto">
        <a:xfrm>
          <a:off x="4829175" y="3886200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22</xdr:row>
      <xdr:rowOff>0</xdr:rowOff>
    </xdr:from>
    <xdr:to>
      <xdr:col>10</xdr:col>
      <xdr:colOff>542925</xdr:colOff>
      <xdr:row>24</xdr:row>
      <xdr:rowOff>19050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29721E5-DE86-4F6A-9928-07C00BCD79E5}"/>
            </a:ext>
          </a:extLst>
        </xdr:cNvPr>
        <xdr:cNvSpPr>
          <a:spLocks noChangeArrowheads="1"/>
        </xdr:cNvSpPr>
      </xdr:nvSpPr>
      <xdr:spPr bwMode="auto">
        <a:xfrm>
          <a:off x="6753225" y="3867150"/>
          <a:ext cx="2095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21</xdr:row>
      <xdr:rowOff>161925</xdr:rowOff>
    </xdr:from>
    <xdr:to>
      <xdr:col>11</xdr:col>
      <xdr:colOff>209550</xdr:colOff>
      <xdr:row>24</xdr:row>
      <xdr:rowOff>19050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599C3A4-1C9F-4984-8378-BD200D738D2A}"/>
            </a:ext>
          </a:extLst>
        </xdr:cNvPr>
        <xdr:cNvSpPr>
          <a:spLocks noChangeArrowheads="1"/>
        </xdr:cNvSpPr>
      </xdr:nvSpPr>
      <xdr:spPr bwMode="auto">
        <a:xfrm>
          <a:off x="7096125" y="3857625"/>
          <a:ext cx="2095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447675</xdr:colOff>
      <xdr:row>23</xdr:row>
      <xdr:rowOff>152400</xdr:rowOff>
    </xdr:from>
    <xdr:to>
      <xdr:col>5</xdr:col>
      <xdr:colOff>657225</xdr:colOff>
      <xdr:row>23</xdr:row>
      <xdr:rowOff>161925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5572242E-AE08-4A9B-95EA-1B70282B1B77}"/>
            </a:ext>
          </a:extLst>
        </xdr:cNvPr>
        <xdr:cNvSpPr>
          <a:spLocks noChangeShapeType="1"/>
        </xdr:cNvSpPr>
      </xdr:nvSpPr>
      <xdr:spPr bwMode="auto">
        <a:xfrm flipV="1">
          <a:off x="3390900" y="4191000"/>
          <a:ext cx="2095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23</xdr:row>
      <xdr:rowOff>133350</xdr:rowOff>
    </xdr:from>
    <xdr:to>
      <xdr:col>6</xdr:col>
      <xdr:colOff>352425</xdr:colOff>
      <xdr:row>27</xdr:row>
      <xdr:rowOff>123825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11608E26-3890-48D5-8850-2677FB284C45}"/>
            </a:ext>
          </a:extLst>
        </xdr:cNvPr>
        <xdr:cNvSpPr>
          <a:spLocks/>
        </xdr:cNvSpPr>
      </xdr:nvSpPr>
      <xdr:spPr bwMode="auto">
        <a:xfrm>
          <a:off x="3914775" y="4171950"/>
          <a:ext cx="152400" cy="676275"/>
        </a:xfrm>
        <a:custGeom>
          <a:avLst/>
          <a:gdLst>
            <a:gd name="T0" fmla="*/ 0 w 16"/>
            <a:gd name="T1" fmla="*/ 120946774 h 108"/>
            <a:gd name="T2" fmla="*/ 816530625 w 16"/>
            <a:gd name="T3" fmla="*/ 120946774 h 108"/>
            <a:gd name="T4" fmla="*/ 1360884375 w 16"/>
            <a:gd name="T5" fmla="*/ 685348356 h 108"/>
            <a:gd name="T6" fmla="*/ 1360884375 w 16"/>
            <a:gd name="T7" fmla="*/ 2147483646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390525</xdr:colOff>
      <xdr:row>24</xdr:row>
      <xdr:rowOff>28575</xdr:rowOff>
    </xdr:from>
    <xdr:to>
      <xdr:col>6</xdr:col>
      <xdr:colOff>466725</xdr:colOff>
      <xdr:row>28</xdr:row>
      <xdr:rowOff>0</xdr:rowOff>
    </xdr:to>
    <xdr:sp macro="" textlink="">
      <xdr:nvSpPr>
        <xdr:cNvPr id="13" name="Freeform 12">
          <a:extLst>
            <a:ext uri="{FF2B5EF4-FFF2-40B4-BE49-F238E27FC236}">
              <a16:creationId xmlns:a16="http://schemas.microsoft.com/office/drawing/2014/main" id="{1F77D1CC-B4C8-47B6-8F17-46AD4DA97616}"/>
            </a:ext>
          </a:extLst>
        </xdr:cNvPr>
        <xdr:cNvSpPr>
          <a:spLocks/>
        </xdr:cNvSpPr>
      </xdr:nvSpPr>
      <xdr:spPr bwMode="auto">
        <a:xfrm>
          <a:off x="4105275" y="4238625"/>
          <a:ext cx="76200" cy="657225"/>
        </a:xfrm>
        <a:custGeom>
          <a:avLst/>
          <a:gdLst>
            <a:gd name="T0" fmla="*/ 967740000 w 6"/>
            <a:gd name="T1" fmla="*/ 0 h 56"/>
            <a:gd name="T2" fmla="*/ 161290000 w 6"/>
            <a:gd name="T3" fmla="*/ 1842483343 h 56"/>
            <a:gd name="T4" fmla="*/ 0 w 6"/>
            <a:gd name="T5" fmla="*/ 2147483646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22</xdr:row>
      <xdr:rowOff>123825</xdr:rowOff>
    </xdr:from>
    <xdr:to>
      <xdr:col>10</xdr:col>
      <xdr:colOff>171450</xdr:colOff>
      <xdr:row>24</xdr:row>
      <xdr:rowOff>19050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14D4C185-9C53-4331-B11A-AB4345CCD235}"/>
            </a:ext>
          </a:extLst>
        </xdr:cNvPr>
        <xdr:cNvSpPr>
          <a:spLocks/>
        </xdr:cNvSpPr>
      </xdr:nvSpPr>
      <xdr:spPr bwMode="auto">
        <a:xfrm>
          <a:off x="5257800" y="3990975"/>
          <a:ext cx="1333500" cy="238125"/>
        </a:xfrm>
        <a:custGeom>
          <a:avLst/>
          <a:gdLst>
            <a:gd name="T0" fmla="*/ 0 w 142"/>
            <a:gd name="T1" fmla="*/ 2086689375 h 25"/>
            <a:gd name="T2" fmla="*/ 2147483646 w 142"/>
            <a:gd name="T3" fmla="*/ 181451250 h 25"/>
            <a:gd name="T4" fmla="*/ 2147483646 w 142"/>
            <a:gd name="T5" fmla="*/ 544353750 h 25"/>
            <a:gd name="T6" fmla="*/ 2147483646 w 142"/>
            <a:gd name="T7" fmla="*/ 1360884375 h 25"/>
            <a:gd name="T8" fmla="*/ 2147483646 w 142"/>
            <a:gd name="T9" fmla="*/ 2147483646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180975</xdr:colOff>
      <xdr:row>14</xdr:row>
      <xdr:rowOff>85725</xdr:rowOff>
    </xdr:from>
    <xdr:to>
      <xdr:col>7</xdr:col>
      <xdr:colOff>114300</xdr:colOff>
      <xdr:row>14</xdr:row>
      <xdr:rowOff>85725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A52C3D23-A3C7-4D9E-9A4A-93C423A68848}"/>
            </a:ext>
          </a:extLst>
        </xdr:cNvPr>
        <xdr:cNvSpPr>
          <a:spLocks noChangeShapeType="1"/>
        </xdr:cNvSpPr>
      </xdr:nvSpPr>
      <xdr:spPr bwMode="auto">
        <a:xfrm>
          <a:off x="3895725" y="25812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104775</xdr:rowOff>
    </xdr:from>
    <xdr:to>
      <xdr:col>7</xdr:col>
      <xdr:colOff>123825</xdr:colOff>
      <xdr:row>16</xdr:row>
      <xdr:rowOff>104775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1999913E-C019-454C-982A-DB29D1DCC3BD}"/>
            </a:ext>
          </a:extLst>
        </xdr:cNvPr>
        <xdr:cNvSpPr>
          <a:spLocks noChangeShapeType="1"/>
        </xdr:cNvSpPr>
      </xdr:nvSpPr>
      <xdr:spPr bwMode="auto">
        <a:xfrm>
          <a:off x="3905250" y="29432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15</xdr:row>
      <xdr:rowOff>104775</xdr:rowOff>
    </xdr:from>
    <xdr:to>
      <xdr:col>7</xdr:col>
      <xdr:colOff>104775</xdr:colOff>
      <xdr:row>15</xdr:row>
      <xdr:rowOff>104775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89856B5-BAA6-445D-9D18-747CABAFF007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17</xdr:row>
      <xdr:rowOff>104775</xdr:rowOff>
    </xdr:from>
    <xdr:to>
      <xdr:col>7</xdr:col>
      <xdr:colOff>114300</xdr:colOff>
      <xdr:row>17</xdr:row>
      <xdr:rowOff>104775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1C5845C3-AC94-420B-BFF0-1607853C1996}"/>
            </a:ext>
          </a:extLst>
        </xdr:cNvPr>
        <xdr:cNvSpPr>
          <a:spLocks noChangeShapeType="1"/>
        </xdr:cNvSpPr>
      </xdr:nvSpPr>
      <xdr:spPr bwMode="auto">
        <a:xfrm>
          <a:off x="389572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8</xdr:row>
      <xdr:rowOff>104775</xdr:rowOff>
    </xdr:from>
    <xdr:to>
      <xdr:col>7</xdr:col>
      <xdr:colOff>647700</xdr:colOff>
      <xdr:row>8</xdr:row>
      <xdr:rowOff>104775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5E917416-8D90-417F-81C2-AF4F304193A6}"/>
            </a:ext>
          </a:extLst>
        </xdr:cNvPr>
        <xdr:cNvSpPr>
          <a:spLocks noChangeShapeType="1"/>
        </xdr:cNvSpPr>
      </xdr:nvSpPr>
      <xdr:spPr bwMode="auto">
        <a:xfrm flipH="1">
          <a:off x="4419600" y="1571625"/>
          <a:ext cx="619125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8</xdr:row>
      <xdr:rowOff>85725</xdr:rowOff>
    </xdr:from>
    <xdr:to>
      <xdr:col>10</xdr:col>
      <xdr:colOff>9525</xdr:colOff>
      <xdr:row>8</xdr:row>
      <xdr:rowOff>85725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EE0B4D33-C85E-4F0B-A447-4E12824C56F6}"/>
            </a:ext>
          </a:extLst>
        </xdr:cNvPr>
        <xdr:cNvSpPr>
          <a:spLocks noChangeShapeType="1"/>
        </xdr:cNvSpPr>
      </xdr:nvSpPr>
      <xdr:spPr bwMode="auto">
        <a:xfrm flipH="1">
          <a:off x="5819775" y="15525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314325</xdr:colOff>
      <xdr:row>8</xdr:row>
      <xdr:rowOff>104775</xdr:rowOff>
    </xdr:from>
    <xdr:to>
      <xdr:col>12</xdr:col>
      <xdr:colOff>247650</xdr:colOff>
      <xdr:row>8</xdr:row>
      <xdr:rowOff>104775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F652DDCF-5314-4F37-9339-1390C059AB70}"/>
            </a:ext>
          </a:extLst>
        </xdr:cNvPr>
        <xdr:cNvSpPr>
          <a:spLocks noChangeShapeType="1"/>
        </xdr:cNvSpPr>
      </xdr:nvSpPr>
      <xdr:spPr bwMode="auto">
        <a:xfrm flipH="1">
          <a:off x="7410450" y="15716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14</xdr:row>
      <xdr:rowOff>95250</xdr:rowOff>
    </xdr:from>
    <xdr:to>
      <xdr:col>10</xdr:col>
      <xdr:colOff>0</xdr:colOff>
      <xdr:row>14</xdr:row>
      <xdr:rowOff>95250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967251DB-FE7A-4CA6-8A18-A21F20D50C99}"/>
            </a:ext>
          </a:extLst>
        </xdr:cNvPr>
        <xdr:cNvSpPr>
          <a:spLocks noChangeShapeType="1"/>
        </xdr:cNvSpPr>
      </xdr:nvSpPr>
      <xdr:spPr bwMode="auto">
        <a:xfrm>
          <a:off x="5810250" y="25908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16</xdr:row>
      <xdr:rowOff>114300</xdr:rowOff>
    </xdr:from>
    <xdr:to>
      <xdr:col>10</xdr:col>
      <xdr:colOff>9525</xdr:colOff>
      <xdr:row>16</xdr:row>
      <xdr:rowOff>114300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A0DC1C43-FFF8-4711-91FF-2B96054C7A0E}"/>
            </a:ext>
          </a:extLst>
        </xdr:cNvPr>
        <xdr:cNvSpPr>
          <a:spLocks noChangeShapeType="1"/>
        </xdr:cNvSpPr>
      </xdr:nvSpPr>
      <xdr:spPr bwMode="auto">
        <a:xfrm>
          <a:off x="5819775" y="295275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15</xdr:row>
      <xdr:rowOff>114300</xdr:rowOff>
    </xdr:from>
    <xdr:to>
      <xdr:col>10</xdr:col>
      <xdr:colOff>0</xdr:colOff>
      <xdr:row>15</xdr:row>
      <xdr:rowOff>114300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BF47D39E-3C7E-412D-BF06-1D2CE9CE2F5A}"/>
            </a:ext>
          </a:extLst>
        </xdr:cNvPr>
        <xdr:cNvSpPr>
          <a:spLocks noChangeShapeType="1"/>
        </xdr:cNvSpPr>
      </xdr:nvSpPr>
      <xdr:spPr bwMode="auto">
        <a:xfrm>
          <a:off x="5810250" y="27813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17</xdr:row>
      <xdr:rowOff>104775</xdr:rowOff>
    </xdr:from>
    <xdr:to>
      <xdr:col>10</xdr:col>
      <xdr:colOff>9525</xdr:colOff>
      <xdr:row>17</xdr:row>
      <xdr:rowOff>104775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E72203AB-8CD3-408F-85AD-9E97B163703C}"/>
            </a:ext>
          </a:extLst>
        </xdr:cNvPr>
        <xdr:cNvSpPr>
          <a:spLocks noChangeShapeType="1"/>
        </xdr:cNvSpPr>
      </xdr:nvSpPr>
      <xdr:spPr bwMode="auto">
        <a:xfrm>
          <a:off x="581977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17</xdr:row>
      <xdr:rowOff>38100</xdr:rowOff>
    </xdr:from>
    <xdr:to>
      <xdr:col>7</xdr:col>
      <xdr:colOff>657225</xdr:colOff>
      <xdr:row>19</xdr:row>
      <xdr:rowOff>152400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25534713-B069-4C91-B8C0-DA9B75A7AE17}"/>
            </a:ext>
          </a:extLst>
        </xdr:cNvPr>
        <xdr:cNvSpPr>
          <a:spLocks noChangeArrowheads="1"/>
        </xdr:cNvSpPr>
      </xdr:nvSpPr>
      <xdr:spPr bwMode="auto">
        <a:xfrm>
          <a:off x="4524375" y="3048000"/>
          <a:ext cx="523875" cy="457200"/>
        </a:xfrm>
        <a:custGeom>
          <a:avLst/>
          <a:gdLst>
            <a:gd name="T0" fmla="*/ 215797209 w 21600"/>
            <a:gd name="T1" fmla="*/ 0 h 21600"/>
            <a:gd name="T2" fmla="*/ 215797209 w 21600"/>
            <a:gd name="T3" fmla="*/ 120151673 h 21600"/>
            <a:gd name="T4" fmla="*/ 46180842 w 21600"/>
            <a:gd name="T5" fmla="*/ 213462108 h 21600"/>
            <a:gd name="T6" fmla="*/ 308159428 w 21600"/>
            <a:gd name="T7" fmla="*/ 600758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238125</xdr:colOff>
      <xdr:row>17</xdr:row>
      <xdr:rowOff>28575</xdr:rowOff>
    </xdr:from>
    <xdr:to>
      <xdr:col>12</xdr:col>
      <xdr:colOff>76200</xdr:colOff>
      <xdr:row>19</xdr:row>
      <xdr:rowOff>142875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F843650C-AEC9-4DD1-A5E5-8F1C331D025A}"/>
            </a:ext>
          </a:extLst>
        </xdr:cNvPr>
        <xdr:cNvSpPr>
          <a:spLocks noChangeArrowheads="1"/>
        </xdr:cNvSpPr>
      </xdr:nvSpPr>
      <xdr:spPr bwMode="auto">
        <a:xfrm>
          <a:off x="7334250" y="3038475"/>
          <a:ext cx="514350" cy="457200"/>
        </a:xfrm>
        <a:custGeom>
          <a:avLst/>
          <a:gdLst>
            <a:gd name="T0" fmla="*/ 215797209 w 21600"/>
            <a:gd name="T1" fmla="*/ 0 h 21600"/>
            <a:gd name="T2" fmla="*/ 215797209 w 21600"/>
            <a:gd name="T3" fmla="*/ 120151673 h 21600"/>
            <a:gd name="T4" fmla="*/ 46180842 w 21600"/>
            <a:gd name="T5" fmla="*/ 213462108 h 21600"/>
            <a:gd name="T6" fmla="*/ 308159428 w 21600"/>
            <a:gd name="T7" fmla="*/ 600758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104775</xdr:colOff>
      <xdr:row>17</xdr:row>
      <xdr:rowOff>38100</xdr:rowOff>
    </xdr:from>
    <xdr:to>
      <xdr:col>10</xdr:col>
      <xdr:colOff>561975</xdr:colOff>
      <xdr:row>20</xdr:row>
      <xdr:rowOff>47625</xdr:rowOff>
    </xdr:to>
    <xdr:sp macro="" textlink="">
      <xdr:nvSpPr>
        <xdr:cNvPr id="28" name="AutoShape 27">
          <a:extLst>
            <a:ext uri="{FF2B5EF4-FFF2-40B4-BE49-F238E27FC236}">
              <a16:creationId xmlns:a16="http://schemas.microsoft.com/office/drawing/2014/main" id="{76FD3D08-CCAF-492A-BC74-472B723BC448}"/>
            </a:ext>
          </a:extLst>
        </xdr:cNvPr>
        <xdr:cNvSpPr>
          <a:spLocks noChangeArrowheads="1"/>
        </xdr:cNvSpPr>
      </xdr:nvSpPr>
      <xdr:spPr bwMode="auto">
        <a:xfrm rot="5400000">
          <a:off x="6491287" y="3081338"/>
          <a:ext cx="523875" cy="457200"/>
        </a:xfrm>
        <a:custGeom>
          <a:avLst/>
          <a:gdLst>
            <a:gd name="T0" fmla="*/ 223715629 w 21600"/>
            <a:gd name="T1" fmla="*/ 0 h 21600"/>
            <a:gd name="T2" fmla="*/ 223715629 w 21600"/>
            <a:gd name="T3" fmla="*/ 115297246 h 21600"/>
            <a:gd name="T4" fmla="*/ 47875748 w 21600"/>
            <a:gd name="T5" fmla="*/ 204838279 h 21600"/>
            <a:gd name="T6" fmla="*/ 319467173 w 21600"/>
            <a:gd name="T7" fmla="*/ 57648623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17</xdr:row>
      <xdr:rowOff>38100</xdr:rowOff>
    </xdr:from>
    <xdr:to>
      <xdr:col>6</xdr:col>
      <xdr:colOff>561975</xdr:colOff>
      <xdr:row>20</xdr:row>
      <xdr:rowOff>47625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DD144E4D-118D-4800-92BC-6F6DB3FAEF66}"/>
            </a:ext>
          </a:extLst>
        </xdr:cNvPr>
        <xdr:cNvSpPr>
          <a:spLocks noChangeArrowheads="1"/>
        </xdr:cNvSpPr>
      </xdr:nvSpPr>
      <xdr:spPr bwMode="auto">
        <a:xfrm rot="5400000">
          <a:off x="3786187" y="3081338"/>
          <a:ext cx="523875" cy="457200"/>
        </a:xfrm>
        <a:custGeom>
          <a:avLst/>
          <a:gdLst>
            <a:gd name="T0" fmla="*/ 223715629 w 21600"/>
            <a:gd name="T1" fmla="*/ 0 h 21600"/>
            <a:gd name="T2" fmla="*/ 223715629 w 21600"/>
            <a:gd name="T3" fmla="*/ 115297246 h 21600"/>
            <a:gd name="T4" fmla="*/ 47875748 w 21600"/>
            <a:gd name="T5" fmla="*/ 204838279 h 21600"/>
            <a:gd name="T6" fmla="*/ 319467173 w 21600"/>
            <a:gd name="T7" fmla="*/ 57648623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6</xdr:row>
      <xdr:rowOff>114300</xdr:rowOff>
    </xdr:from>
    <xdr:to>
      <xdr:col>0</xdr:col>
      <xdr:colOff>523875</xdr:colOff>
      <xdr:row>19</xdr:row>
      <xdr:rowOff>85725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56BB208-662F-4857-A2D1-1955A934E4EF}"/>
            </a:ext>
          </a:extLst>
        </xdr:cNvPr>
        <xdr:cNvSpPr txBox="1">
          <a:spLocks noChangeArrowheads="1"/>
        </xdr:cNvSpPr>
      </xdr:nvSpPr>
      <xdr:spPr bwMode="auto">
        <a:xfrm>
          <a:off x="133350" y="1238250"/>
          <a:ext cx="390525" cy="220027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１１００ｍ折り返し地点から上流は航行禁止</a:t>
          </a:r>
        </a:p>
      </xdr:txBody>
    </xdr:sp>
    <xdr:clientData/>
  </xdr:twoCellAnchor>
  <xdr:twoCellAnchor>
    <xdr:from>
      <xdr:col>13</xdr:col>
      <xdr:colOff>400050</xdr:colOff>
      <xdr:row>9</xdr:row>
      <xdr:rowOff>123825</xdr:rowOff>
    </xdr:from>
    <xdr:to>
      <xdr:col>14</xdr:col>
      <xdr:colOff>219075</xdr:colOff>
      <xdr:row>16</xdr:row>
      <xdr:rowOff>85725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2AB8E8BB-7DBE-424D-B8E1-51A1C53119F1}"/>
            </a:ext>
          </a:extLst>
        </xdr:cNvPr>
        <xdr:cNvSpPr>
          <a:spLocks noChangeArrowheads="1"/>
        </xdr:cNvSpPr>
      </xdr:nvSpPr>
      <xdr:spPr bwMode="auto">
        <a:xfrm rot="-5527266">
          <a:off x="8515350" y="2095500"/>
          <a:ext cx="1162050" cy="495300"/>
        </a:xfrm>
        <a:prstGeom prst="curvedUpArrow">
          <a:avLst>
            <a:gd name="adj1" fmla="val 46038"/>
            <a:gd name="adj2" fmla="val 92075"/>
            <a:gd name="adj3" fmla="val 41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9</xdr:row>
      <xdr:rowOff>47625</xdr:rowOff>
    </xdr:from>
    <xdr:to>
      <xdr:col>5</xdr:col>
      <xdr:colOff>247650</xdr:colOff>
      <xdr:row>16</xdr:row>
      <xdr:rowOff>57150</xdr:rowOff>
    </xdr:to>
    <xdr:sp macro="" textlink="">
      <xdr:nvSpPr>
        <xdr:cNvPr id="32" name="AutoShape 31">
          <a:extLst>
            <a:ext uri="{FF2B5EF4-FFF2-40B4-BE49-F238E27FC236}">
              <a16:creationId xmlns:a16="http://schemas.microsoft.com/office/drawing/2014/main" id="{6CE7B029-E346-4B55-9ED9-716E1FFA04D9}"/>
            </a:ext>
          </a:extLst>
        </xdr:cNvPr>
        <xdr:cNvSpPr>
          <a:spLocks noChangeArrowheads="1"/>
        </xdr:cNvSpPr>
      </xdr:nvSpPr>
      <xdr:spPr bwMode="auto">
        <a:xfrm rot="5400000">
          <a:off x="2466975" y="2171700"/>
          <a:ext cx="1209675" cy="238125"/>
        </a:xfrm>
        <a:prstGeom prst="curvedUpArrow">
          <a:avLst>
            <a:gd name="adj1" fmla="val 69286"/>
            <a:gd name="adj2" fmla="val 203200"/>
            <a:gd name="adj3" fmla="val 742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22</xdr:row>
      <xdr:rowOff>161925</xdr:rowOff>
    </xdr:from>
    <xdr:to>
      <xdr:col>2</xdr:col>
      <xdr:colOff>666750</xdr:colOff>
      <xdr:row>23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471ACB83-CF5F-4B0A-9D5D-1FA1E85D0452}"/>
            </a:ext>
          </a:extLst>
        </xdr:cNvPr>
        <xdr:cNvSpPr>
          <a:spLocks noChangeShapeType="1"/>
        </xdr:cNvSpPr>
      </xdr:nvSpPr>
      <xdr:spPr bwMode="auto">
        <a:xfrm flipV="1">
          <a:off x="723900" y="4029075"/>
          <a:ext cx="12954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21</xdr:row>
      <xdr:rowOff>104775</xdr:rowOff>
    </xdr:from>
    <xdr:to>
      <xdr:col>5</xdr:col>
      <xdr:colOff>428625</xdr:colOff>
      <xdr:row>23</xdr:row>
      <xdr:rowOff>161925</xdr:rowOff>
    </xdr:to>
    <xdr:sp macro="" textlink="">
      <xdr:nvSpPr>
        <xdr:cNvPr id="34" name="Freeform 33">
          <a:extLst>
            <a:ext uri="{FF2B5EF4-FFF2-40B4-BE49-F238E27FC236}">
              <a16:creationId xmlns:a16="http://schemas.microsoft.com/office/drawing/2014/main" id="{DF146C31-40E1-4D51-B4E2-DAA32E25F38A}"/>
            </a:ext>
          </a:extLst>
        </xdr:cNvPr>
        <xdr:cNvSpPr>
          <a:spLocks/>
        </xdr:cNvSpPr>
      </xdr:nvSpPr>
      <xdr:spPr bwMode="auto">
        <a:xfrm>
          <a:off x="2028825" y="3800475"/>
          <a:ext cx="1343025" cy="400050"/>
        </a:xfrm>
        <a:custGeom>
          <a:avLst/>
          <a:gdLst>
            <a:gd name="T0" fmla="*/ 0 w 118"/>
            <a:gd name="T1" fmla="*/ 2147483646 h 42"/>
            <a:gd name="T2" fmla="*/ 2147483646 w 118"/>
            <a:gd name="T3" fmla="*/ 635079375 h 42"/>
            <a:gd name="T4" fmla="*/ 2147483646 w 118"/>
            <a:gd name="T5" fmla="*/ 544353750 h 42"/>
            <a:gd name="T6" fmla="*/ 2147483646 w 118"/>
            <a:gd name="T7" fmla="*/ 2147483646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57150</xdr:rowOff>
    </xdr:from>
    <xdr:to>
      <xdr:col>10</xdr:col>
      <xdr:colOff>552450</xdr:colOff>
      <xdr:row>7</xdr:row>
      <xdr:rowOff>123825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DAA8EA2-7307-489C-BE59-CF84186E0648}"/>
            </a:ext>
          </a:extLst>
        </xdr:cNvPr>
        <xdr:cNvSpPr>
          <a:spLocks noChangeShapeType="1"/>
        </xdr:cNvSpPr>
      </xdr:nvSpPr>
      <xdr:spPr bwMode="auto">
        <a:xfrm flipV="1">
          <a:off x="695325" y="1009650"/>
          <a:ext cx="62769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1</xdr:row>
      <xdr:rowOff>28575</xdr:rowOff>
    </xdr:from>
    <xdr:to>
      <xdr:col>11</xdr:col>
      <xdr:colOff>228600</xdr:colOff>
      <xdr:row>5</xdr:row>
      <xdr:rowOff>57150</xdr:rowOff>
    </xdr:to>
    <xdr:sp macro="" textlink="">
      <xdr:nvSpPr>
        <xdr:cNvPr id="36" name="Freeform 35">
          <a:extLst>
            <a:ext uri="{FF2B5EF4-FFF2-40B4-BE49-F238E27FC236}">
              <a16:creationId xmlns:a16="http://schemas.microsoft.com/office/drawing/2014/main" id="{F329D745-DE78-421A-9BCE-4B0B0A99CE72}"/>
            </a:ext>
          </a:extLst>
        </xdr:cNvPr>
        <xdr:cNvSpPr>
          <a:spLocks/>
        </xdr:cNvSpPr>
      </xdr:nvSpPr>
      <xdr:spPr bwMode="auto">
        <a:xfrm>
          <a:off x="6953250" y="295275"/>
          <a:ext cx="371475" cy="714375"/>
        </a:xfrm>
        <a:custGeom>
          <a:avLst/>
          <a:gdLst>
            <a:gd name="T0" fmla="*/ 0 w 40"/>
            <a:gd name="T1" fmla="*/ 2147483646 h 59"/>
            <a:gd name="T2" fmla="*/ 2147483646 w 40"/>
            <a:gd name="T3" fmla="*/ 2147483646 h 59"/>
            <a:gd name="T4" fmla="*/ 2147483646 w 40"/>
            <a:gd name="T5" fmla="*/ 2147483646 h 59"/>
            <a:gd name="T6" fmla="*/ 2147483646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2</xdr:row>
      <xdr:rowOff>133350</xdr:rowOff>
    </xdr:from>
    <xdr:to>
      <xdr:col>13</xdr:col>
      <xdr:colOff>114300</xdr:colOff>
      <xdr:row>5</xdr:row>
      <xdr:rowOff>9525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EC2DD9B-606C-41B8-BDC7-78E94ED654D3}"/>
            </a:ext>
          </a:extLst>
        </xdr:cNvPr>
        <xdr:cNvSpPr txBox="1">
          <a:spLocks noChangeArrowheads="1"/>
        </xdr:cNvSpPr>
      </xdr:nvSpPr>
      <xdr:spPr bwMode="auto">
        <a:xfrm>
          <a:off x="7429500" y="571500"/>
          <a:ext cx="1133475" cy="39052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練習水域は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使用禁止</a:t>
          </a:r>
        </a:p>
      </xdr:txBody>
    </xdr:sp>
    <xdr:clientData/>
  </xdr:twoCellAnchor>
  <xdr:twoCellAnchor>
    <xdr:from>
      <xdr:col>13</xdr:col>
      <xdr:colOff>609600</xdr:colOff>
      <xdr:row>17</xdr:row>
      <xdr:rowOff>57150</xdr:rowOff>
    </xdr:from>
    <xdr:to>
      <xdr:col>15</xdr:col>
      <xdr:colOff>657225</xdr:colOff>
      <xdr:row>23</xdr:row>
      <xdr:rowOff>114300</xdr:rowOff>
    </xdr:to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3FE7A9A9-2BC3-4DDE-A760-7ADC197D4FF9}"/>
            </a:ext>
          </a:extLst>
        </xdr:cNvPr>
        <xdr:cNvSpPr>
          <a:spLocks noChangeArrowheads="1"/>
        </xdr:cNvSpPr>
      </xdr:nvSpPr>
      <xdr:spPr bwMode="auto">
        <a:xfrm>
          <a:off x="9058275" y="3067050"/>
          <a:ext cx="1400175" cy="1085850"/>
        </a:xfrm>
        <a:prstGeom prst="wedgeRoundRectCallout">
          <a:avLst>
            <a:gd name="adj1" fmla="val -22481"/>
            <a:gd name="adj2" fmla="val -978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ゴール後の水域が狭いので、すみやかに折り返すこと。その際は後続の艇の接近に注意する。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114300</xdr:colOff>
      <xdr:row>6</xdr:row>
      <xdr:rowOff>161925</xdr:rowOff>
    </xdr:from>
    <xdr:to>
      <xdr:col>14</xdr:col>
      <xdr:colOff>438150</xdr:colOff>
      <xdr:row>9</xdr:row>
      <xdr:rowOff>85725</xdr:rowOff>
    </xdr:to>
    <xdr:sp macro="" textlink="">
      <xdr:nvSpPr>
        <xdr:cNvPr id="39" name="AutoShape 38">
          <a:extLst>
            <a:ext uri="{FF2B5EF4-FFF2-40B4-BE49-F238E27FC236}">
              <a16:creationId xmlns:a16="http://schemas.microsoft.com/office/drawing/2014/main" id="{628ABA74-1007-481E-A7E3-6F806479F353}"/>
            </a:ext>
          </a:extLst>
        </xdr:cNvPr>
        <xdr:cNvSpPr>
          <a:spLocks noChangeArrowheads="1"/>
        </xdr:cNvSpPr>
      </xdr:nvSpPr>
      <xdr:spPr bwMode="auto">
        <a:xfrm>
          <a:off x="8562975" y="1285875"/>
          <a:ext cx="1000125" cy="438150"/>
        </a:xfrm>
        <a:prstGeom prst="wedgeRectCallout">
          <a:avLst>
            <a:gd name="adj1" fmla="val -59435"/>
            <a:gd name="adj2" fmla="val 804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ゴールライン対岸よりのワイヤーに注意</a:t>
          </a:r>
        </a:p>
      </xdr:txBody>
    </xdr:sp>
    <xdr:clientData/>
  </xdr:twoCellAnchor>
  <xdr:twoCellAnchor>
    <xdr:from>
      <xdr:col>0</xdr:col>
      <xdr:colOff>57150</xdr:colOff>
      <xdr:row>0</xdr:row>
      <xdr:rowOff>104775</xdr:rowOff>
    </xdr:from>
    <xdr:to>
      <xdr:col>6</xdr:col>
      <xdr:colOff>542925</xdr:colOff>
      <xdr:row>3</xdr:row>
      <xdr:rowOff>57150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E8657FB-0160-4724-95A9-02CF79377F33}"/>
            </a:ext>
          </a:extLst>
        </xdr:cNvPr>
        <xdr:cNvSpPr txBox="1">
          <a:spLocks noChangeArrowheads="1"/>
        </xdr:cNvSpPr>
      </xdr:nvSpPr>
      <xdr:spPr bwMode="auto">
        <a:xfrm>
          <a:off x="57150" y="104775"/>
          <a:ext cx="4200525" cy="561975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高校新人１次予選・航行ルール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試合日の試合開始１時間前まで。試合終了３０分後より。</a:t>
          </a:r>
        </a:p>
      </xdr:txBody>
    </xdr:sp>
    <xdr:clientData/>
  </xdr:twoCellAnchor>
  <xdr:twoCellAnchor>
    <xdr:from>
      <xdr:col>3</xdr:col>
      <xdr:colOff>571500</xdr:colOff>
      <xdr:row>11</xdr:row>
      <xdr:rowOff>38100</xdr:rowOff>
    </xdr:from>
    <xdr:to>
      <xdr:col>4</xdr:col>
      <xdr:colOff>123825</xdr:colOff>
      <xdr:row>17</xdr:row>
      <xdr:rowOff>142875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A973787-375C-40B4-BE48-DDD5E274357D}"/>
            </a:ext>
          </a:extLst>
        </xdr:cNvPr>
        <xdr:cNvSpPr txBox="1">
          <a:spLocks noChangeArrowheads="1"/>
        </xdr:cNvSpPr>
      </xdr:nvSpPr>
      <xdr:spPr bwMode="auto">
        <a:xfrm>
          <a:off x="2600325" y="2019300"/>
          <a:ext cx="22860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</xdr:txBody>
    </xdr:sp>
    <xdr:clientData/>
  </xdr:twoCellAnchor>
  <xdr:twoCellAnchor>
    <xdr:from>
      <xdr:col>7</xdr:col>
      <xdr:colOff>390525</xdr:colOff>
      <xdr:row>1</xdr:row>
      <xdr:rowOff>85725</xdr:rowOff>
    </xdr:from>
    <xdr:to>
      <xdr:col>8</xdr:col>
      <xdr:colOff>523875</xdr:colOff>
      <xdr:row>1</xdr:row>
      <xdr:rowOff>85725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73B8B10B-7A56-4A3E-B7A3-8755AE9B89D4}"/>
            </a:ext>
          </a:extLst>
        </xdr:cNvPr>
        <xdr:cNvSpPr>
          <a:spLocks noChangeShapeType="1"/>
        </xdr:cNvSpPr>
      </xdr:nvSpPr>
      <xdr:spPr bwMode="auto">
        <a:xfrm flipH="1">
          <a:off x="4781550" y="3524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0</xdr:row>
      <xdr:rowOff>180975</xdr:rowOff>
    </xdr:from>
    <xdr:to>
      <xdr:col>8</xdr:col>
      <xdr:colOff>180975</xdr:colOff>
      <xdr:row>2</xdr:row>
      <xdr:rowOff>76200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F6B1BF04-F894-4B03-A81D-D1F539189030}"/>
            </a:ext>
          </a:extLst>
        </xdr:cNvPr>
        <xdr:cNvSpPr>
          <a:spLocks noChangeShapeType="1"/>
        </xdr:cNvSpPr>
      </xdr:nvSpPr>
      <xdr:spPr bwMode="auto">
        <a:xfrm>
          <a:off x="5248275" y="18097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5</xdr:row>
      <xdr:rowOff>19050</xdr:rowOff>
    </xdr:from>
    <xdr:to>
      <xdr:col>15</xdr:col>
      <xdr:colOff>352425</xdr:colOff>
      <xdr:row>24</xdr:row>
      <xdr:rowOff>0</xdr:rowOff>
    </xdr:to>
    <xdr:sp macro="" textlink="">
      <xdr:nvSpPr>
        <xdr:cNvPr id="44" name="Freeform 1">
          <a:extLst>
            <a:ext uri="{FF2B5EF4-FFF2-40B4-BE49-F238E27FC236}">
              <a16:creationId xmlns:a16="http://schemas.microsoft.com/office/drawing/2014/main" id="{BC74B94C-E3E4-453F-B22C-CC274BA4F1C0}"/>
            </a:ext>
          </a:extLst>
        </xdr:cNvPr>
        <xdr:cNvSpPr>
          <a:spLocks/>
        </xdr:cNvSpPr>
      </xdr:nvSpPr>
      <xdr:spPr bwMode="auto">
        <a:xfrm>
          <a:off x="7791450" y="971550"/>
          <a:ext cx="2362200" cy="3238500"/>
        </a:xfrm>
        <a:custGeom>
          <a:avLst/>
          <a:gdLst>
            <a:gd name="T0" fmla="*/ 0 w 251"/>
            <a:gd name="T1" fmla="*/ 2147483646 h 343"/>
            <a:gd name="T2" fmla="*/ 2147483646 w 251"/>
            <a:gd name="T3" fmla="*/ 2147483646 h 343"/>
            <a:gd name="T4" fmla="*/ 2147483646 w 251"/>
            <a:gd name="T5" fmla="*/ 2147483646 h 343"/>
            <a:gd name="T6" fmla="*/ 2147483646 w 251"/>
            <a:gd name="T7" fmla="*/ 2147483646 h 343"/>
            <a:gd name="T8" fmla="*/ 2147483646 w 251"/>
            <a:gd name="T9" fmla="*/ 2147483646 h 343"/>
            <a:gd name="T10" fmla="*/ 2147483646 w 251"/>
            <a:gd name="T11" fmla="*/ 2147483646 h 343"/>
            <a:gd name="T12" fmla="*/ 2147483646 w 251"/>
            <a:gd name="T13" fmla="*/ 2147483646 h 343"/>
            <a:gd name="T14" fmla="*/ 2147483646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200025</xdr:colOff>
      <xdr:row>24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3280AE45-B59D-40A6-AA8F-2E7B8B1B143E}"/>
            </a:ext>
          </a:extLst>
        </xdr:cNvPr>
        <xdr:cNvSpPr>
          <a:spLocks noChangeShapeType="1"/>
        </xdr:cNvSpPr>
      </xdr:nvSpPr>
      <xdr:spPr bwMode="auto">
        <a:xfrm>
          <a:off x="6619875" y="421005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24</xdr:row>
      <xdr:rowOff>0</xdr:rowOff>
    </xdr:from>
    <xdr:to>
      <xdr:col>8</xdr:col>
      <xdr:colOff>219075</xdr:colOff>
      <xdr:row>24</xdr:row>
      <xdr:rowOff>0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BD040A3-B539-4CA0-BC1F-063D86D32E34}"/>
            </a:ext>
          </a:extLst>
        </xdr:cNvPr>
        <xdr:cNvSpPr>
          <a:spLocks noChangeShapeType="1"/>
        </xdr:cNvSpPr>
      </xdr:nvSpPr>
      <xdr:spPr bwMode="auto">
        <a:xfrm>
          <a:off x="4171950" y="4210050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28575</xdr:rowOff>
    </xdr:from>
    <xdr:to>
      <xdr:col>6</xdr:col>
      <xdr:colOff>209550</xdr:colOff>
      <xdr:row>23</xdr:row>
      <xdr:rowOff>161925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id="{C897EB44-2CA1-4826-BA49-3C291EE9D2F5}"/>
            </a:ext>
          </a:extLst>
        </xdr:cNvPr>
        <xdr:cNvSpPr>
          <a:spLocks noChangeArrowheads="1"/>
        </xdr:cNvSpPr>
      </xdr:nvSpPr>
      <xdr:spPr bwMode="auto">
        <a:xfrm>
          <a:off x="3714750" y="3895725"/>
          <a:ext cx="2095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533400</xdr:colOff>
      <xdr:row>22</xdr:row>
      <xdr:rowOff>28575</xdr:rowOff>
    </xdr:from>
    <xdr:to>
      <xdr:col>7</xdr:col>
      <xdr:colOff>57150</xdr:colOff>
      <xdr:row>24</xdr:row>
      <xdr:rowOff>19050</xdr:rowOff>
    </xdr:to>
    <xdr:sp macro="" textlink="">
      <xdr:nvSpPr>
        <xdr:cNvPr id="48" name="Rectangle 5">
          <a:extLst>
            <a:ext uri="{FF2B5EF4-FFF2-40B4-BE49-F238E27FC236}">
              <a16:creationId xmlns:a16="http://schemas.microsoft.com/office/drawing/2014/main" id="{98B8DE7A-29CC-46AD-AFA4-61F14D0C77FC}"/>
            </a:ext>
          </a:extLst>
        </xdr:cNvPr>
        <xdr:cNvSpPr>
          <a:spLocks noChangeArrowheads="1"/>
        </xdr:cNvSpPr>
      </xdr:nvSpPr>
      <xdr:spPr bwMode="auto">
        <a:xfrm>
          <a:off x="4248150" y="3895725"/>
          <a:ext cx="2000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22</xdr:row>
      <xdr:rowOff>28575</xdr:rowOff>
    </xdr:from>
    <xdr:to>
      <xdr:col>7</xdr:col>
      <xdr:colOff>371475</xdr:colOff>
      <xdr:row>24</xdr:row>
      <xdr:rowOff>28575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id="{45D5977A-3DB6-4F3B-BD56-5A84530CD1EF}"/>
            </a:ext>
          </a:extLst>
        </xdr:cNvPr>
        <xdr:cNvSpPr>
          <a:spLocks noChangeArrowheads="1"/>
        </xdr:cNvSpPr>
      </xdr:nvSpPr>
      <xdr:spPr bwMode="auto">
        <a:xfrm>
          <a:off x="4552950" y="3895725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22</xdr:row>
      <xdr:rowOff>19050</xdr:rowOff>
    </xdr:from>
    <xdr:to>
      <xdr:col>7</xdr:col>
      <xdr:colOff>647700</xdr:colOff>
      <xdr:row>24</xdr:row>
      <xdr:rowOff>19050</xdr:rowOff>
    </xdr:to>
    <xdr:sp macro="" textlink="">
      <xdr:nvSpPr>
        <xdr:cNvPr id="50" name="Rectangle 7">
          <a:extLst>
            <a:ext uri="{FF2B5EF4-FFF2-40B4-BE49-F238E27FC236}">
              <a16:creationId xmlns:a16="http://schemas.microsoft.com/office/drawing/2014/main" id="{F680AC15-D92B-4BD8-A2E3-623616FEB15F}"/>
            </a:ext>
          </a:extLst>
        </xdr:cNvPr>
        <xdr:cNvSpPr>
          <a:spLocks noChangeArrowheads="1"/>
        </xdr:cNvSpPr>
      </xdr:nvSpPr>
      <xdr:spPr bwMode="auto">
        <a:xfrm>
          <a:off x="4829175" y="3886200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22</xdr:row>
      <xdr:rowOff>0</xdr:rowOff>
    </xdr:from>
    <xdr:to>
      <xdr:col>10</xdr:col>
      <xdr:colOff>542925</xdr:colOff>
      <xdr:row>24</xdr:row>
      <xdr:rowOff>19050</xdr:rowOff>
    </xdr:to>
    <xdr:sp macro="" textlink="">
      <xdr:nvSpPr>
        <xdr:cNvPr id="51" name="Rectangle 8">
          <a:extLst>
            <a:ext uri="{FF2B5EF4-FFF2-40B4-BE49-F238E27FC236}">
              <a16:creationId xmlns:a16="http://schemas.microsoft.com/office/drawing/2014/main" id="{DC9E2028-E391-46C5-9272-3844D31DCDBF}"/>
            </a:ext>
          </a:extLst>
        </xdr:cNvPr>
        <xdr:cNvSpPr>
          <a:spLocks noChangeArrowheads="1"/>
        </xdr:cNvSpPr>
      </xdr:nvSpPr>
      <xdr:spPr bwMode="auto">
        <a:xfrm>
          <a:off x="6753225" y="3867150"/>
          <a:ext cx="2095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21</xdr:row>
      <xdr:rowOff>161925</xdr:rowOff>
    </xdr:from>
    <xdr:to>
      <xdr:col>11</xdr:col>
      <xdr:colOff>209550</xdr:colOff>
      <xdr:row>24</xdr:row>
      <xdr:rowOff>19050</xdr:rowOff>
    </xdr:to>
    <xdr:sp macro="" textlink="">
      <xdr:nvSpPr>
        <xdr:cNvPr id="52" name="Rectangle 9">
          <a:extLst>
            <a:ext uri="{FF2B5EF4-FFF2-40B4-BE49-F238E27FC236}">
              <a16:creationId xmlns:a16="http://schemas.microsoft.com/office/drawing/2014/main" id="{5AB686EF-B1D0-4452-A420-07E57F23CADF}"/>
            </a:ext>
          </a:extLst>
        </xdr:cNvPr>
        <xdr:cNvSpPr>
          <a:spLocks noChangeArrowheads="1"/>
        </xdr:cNvSpPr>
      </xdr:nvSpPr>
      <xdr:spPr bwMode="auto">
        <a:xfrm>
          <a:off x="7096125" y="3857625"/>
          <a:ext cx="2095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447675</xdr:colOff>
      <xdr:row>23</xdr:row>
      <xdr:rowOff>152400</xdr:rowOff>
    </xdr:from>
    <xdr:to>
      <xdr:col>5</xdr:col>
      <xdr:colOff>657225</xdr:colOff>
      <xdr:row>23</xdr:row>
      <xdr:rowOff>161925</xdr:rowOff>
    </xdr:to>
    <xdr:sp macro="" textlink="">
      <xdr:nvSpPr>
        <xdr:cNvPr id="53" name="Line 11">
          <a:extLst>
            <a:ext uri="{FF2B5EF4-FFF2-40B4-BE49-F238E27FC236}">
              <a16:creationId xmlns:a16="http://schemas.microsoft.com/office/drawing/2014/main" id="{E3519CCC-AF79-479B-BE43-7532E6824DAB}"/>
            </a:ext>
          </a:extLst>
        </xdr:cNvPr>
        <xdr:cNvSpPr>
          <a:spLocks noChangeShapeType="1"/>
        </xdr:cNvSpPr>
      </xdr:nvSpPr>
      <xdr:spPr bwMode="auto">
        <a:xfrm flipV="1">
          <a:off x="3390900" y="4191000"/>
          <a:ext cx="2095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23</xdr:row>
      <xdr:rowOff>133350</xdr:rowOff>
    </xdr:from>
    <xdr:to>
      <xdr:col>6</xdr:col>
      <xdr:colOff>352425</xdr:colOff>
      <xdr:row>27</xdr:row>
      <xdr:rowOff>123825</xdr:rowOff>
    </xdr:to>
    <xdr:sp macro="" textlink="">
      <xdr:nvSpPr>
        <xdr:cNvPr id="54" name="Freeform 12">
          <a:extLst>
            <a:ext uri="{FF2B5EF4-FFF2-40B4-BE49-F238E27FC236}">
              <a16:creationId xmlns:a16="http://schemas.microsoft.com/office/drawing/2014/main" id="{EA413B28-B226-4196-B114-B1024C46D0B4}"/>
            </a:ext>
          </a:extLst>
        </xdr:cNvPr>
        <xdr:cNvSpPr>
          <a:spLocks/>
        </xdr:cNvSpPr>
      </xdr:nvSpPr>
      <xdr:spPr bwMode="auto">
        <a:xfrm>
          <a:off x="3914775" y="4171950"/>
          <a:ext cx="152400" cy="676275"/>
        </a:xfrm>
        <a:custGeom>
          <a:avLst/>
          <a:gdLst>
            <a:gd name="T0" fmla="*/ 0 w 16"/>
            <a:gd name="T1" fmla="*/ 2147483646 h 108"/>
            <a:gd name="T2" fmla="*/ 2147483646 w 16"/>
            <a:gd name="T3" fmla="*/ 2147483646 h 108"/>
            <a:gd name="T4" fmla="*/ 2147483646 w 16"/>
            <a:gd name="T5" fmla="*/ 2147483646 h 108"/>
            <a:gd name="T6" fmla="*/ 2147483646 w 16"/>
            <a:gd name="T7" fmla="*/ 2147483646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390525</xdr:colOff>
      <xdr:row>24</xdr:row>
      <xdr:rowOff>28575</xdr:rowOff>
    </xdr:from>
    <xdr:to>
      <xdr:col>6</xdr:col>
      <xdr:colOff>466725</xdr:colOff>
      <xdr:row>28</xdr:row>
      <xdr:rowOff>0</xdr:rowOff>
    </xdr:to>
    <xdr:sp macro="" textlink="">
      <xdr:nvSpPr>
        <xdr:cNvPr id="55" name="Freeform 13">
          <a:extLst>
            <a:ext uri="{FF2B5EF4-FFF2-40B4-BE49-F238E27FC236}">
              <a16:creationId xmlns:a16="http://schemas.microsoft.com/office/drawing/2014/main" id="{B1E38E9C-AFC5-47C8-B2CB-1232DA3A35D6}"/>
            </a:ext>
          </a:extLst>
        </xdr:cNvPr>
        <xdr:cNvSpPr>
          <a:spLocks/>
        </xdr:cNvSpPr>
      </xdr:nvSpPr>
      <xdr:spPr bwMode="auto">
        <a:xfrm>
          <a:off x="4105275" y="4238625"/>
          <a:ext cx="76200" cy="657225"/>
        </a:xfrm>
        <a:custGeom>
          <a:avLst/>
          <a:gdLst>
            <a:gd name="T0" fmla="*/ 2147483646 w 6"/>
            <a:gd name="T1" fmla="*/ 0 h 56"/>
            <a:gd name="T2" fmla="*/ 2147483646 w 6"/>
            <a:gd name="T3" fmla="*/ 2147483646 h 56"/>
            <a:gd name="T4" fmla="*/ 0 w 6"/>
            <a:gd name="T5" fmla="*/ 2147483646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22</xdr:row>
      <xdr:rowOff>123825</xdr:rowOff>
    </xdr:from>
    <xdr:to>
      <xdr:col>10</xdr:col>
      <xdr:colOff>171450</xdr:colOff>
      <xdr:row>24</xdr:row>
      <xdr:rowOff>19050</xdr:rowOff>
    </xdr:to>
    <xdr:sp macro="" textlink="">
      <xdr:nvSpPr>
        <xdr:cNvPr id="56" name="Freeform 14">
          <a:extLst>
            <a:ext uri="{FF2B5EF4-FFF2-40B4-BE49-F238E27FC236}">
              <a16:creationId xmlns:a16="http://schemas.microsoft.com/office/drawing/2014/main" id="{79FD502B-AF4C-4A31-8A59-648BC3997000}"/>
            </a:ext>
          </a:extLst>
        </xdr:cNvPr>
        <xdr:cNvSpPr>
          <a:spLocks/>
        </xdr:cNvSpPr>
      </xdr:nvSpPr>
      <xdr:spPr bwMode="auto">
        <a:xfrm>
          <a:off x="5257800" y="3990975"/>
          <a:ext cx="1333500" cy="238125"/>
        </a:xfrm>
        <a:custGeom>
          <a:avLst/>
          <a:gdLst>
            <a:gd name="T0" fmla="*/ 0 w 142"/>
            <a:gd name="T1" fmla="*/ 2147483646 h 25"/>
            <a:gd name="T2" fmla="*/ 2147483646 w 142"/>
            <a:gd name="T3" fmla="*/ 2147483646 h 25"/>
            <a:gd name="T4" fmla="*/ 2147483646 w 142"/>
            <a:gd name="T5" fmla="*/ 2147483646 h 25"/>
            <a:gd name="T6" fmla="*/ 2147483646 w 142"/>
            <a:gd name="T7" fmla="*/ 2147483646 h 25"/>
            <a:gd name="T8" fmla="*/ 2147483646 w 142"/>
            <a:gd name="T9" fmla="*/ 2147483646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180975</xdr:colOff>
      <xdr:row>14</xdr:row>
      <xdr:rowOff>85725</xdr:rowOff>
    </xdr:from>
    <xdr:to>
      <xdr:col>7</xdr:col>
      <xdr:colOff>114300</xdr:colOff>
      <xdr:row>14</xdr:row>
      <xdr:rowOff>85725</xdr:rowOff>
    </xdr:to>
    <xdr:sp macro="" textlink="">
      <xdr:nvSpPr>
        <xdr:cNvPr id="57" name="Line 15">
          <a:extLst>
            <a:ext uri="{FF2B5EF4-FFF2-40B4-BE49-F238E27FC236}">
              <a16:creationId xmlns:a16="http://schemas.microsoft.com/office/drawing/2014/main" id="{4CEF1036-1284-4759-AF0A-7212E58CFC71}"/>
            </a:ext>
          </a:extLst>
        </xdr:cNvPr>
        <xdr:cNvSpPr>
          <a:spLocks noChangeShapeType="1"/>
        </xdr:cNvSpPr>
      </xdr:nvSpPr>
      <xdr:spPr bwMode="auto">
        <a:xfrm>
          <a:off x="3895725" y="25812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104775</xdr:rowOff>
    </xdr:from>
    <xdr:to>
      <xdr:col>7</xdr:col>
      <xdr:colOff>123825</xdr:colOff>
      <xdr:row>16</xdr:row>
      <xdr:rowOff>104775</xdr:rowOff>
    </xdr:to>
    <xdr:sp macro="" textlink="">
      <xdr:nvSpPr>
        <xdr:cNvPr id="58" name="Line 16">
          <a:extLst>
            <a:ext uri="{FF2B5EF4-FFF2-40B4-BE49-F238E27FC236}">
              <a16:creationId xmlns:a16="http://schemas.microsoft.com/office/drawing/2014/main" id="{CCB93192-C621-40FC-80D9-228CA973B071}"/>
            </a:ext>
          </a:extLst>
        </xdr:cNvPr>
        <xdr:cNvSpPr>
          <a:spLocks noChangeShapeType="1"/>
        </xdr:cNvSpPr>
      </xdr:nvSpPr>
      <xdr:spPr bwMode="auto">
        <a:xfrm>
          <a:off x="3905250" y="29432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15</xdr:row>
      <xdr:rowOff>104775</xdr:rowOff>
    </xdr:from>
    <xdr:to>
      <xdr:col>7</xdr:col>
      <xdr:colOff>104775</xdr:colOff>
      <xdr:row>15</xdr:row>
      <xdr:rowOff>104775</xdr:rowOff>
    </xdr:to>
    <xdr:sp macro="" textlink="">
      <xdr:nvSpPr>
        <xdr:cNvPr id="59" name="Line 17">
          <a:extLst>
            <a:ext uri="{FF2B5EF4-FFF2-40B4-BE49-F238E27FC236}">
              <a16:creationId xmlns:a16="http://schemas.microsoft.com/office/drawing/2014/main" id="{65124389-45FA-4D9F-9DC0-FFAE52CF99E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17</xdr:row>
      <xdr:rowOff>104775</xdr:rowOff>
    </xdr:from>
    <xdr:to>
      <xdr:col>7</xdr:col>
      <xdr:colOff>114300</xdr:colOff>
      <xdr:row>17</xdr:row>
      <xdr:rowOff>104775</xdr:rowOff>
    </xdr:to>
    <xdr:sp macro="" textlink="">
      <xdr:nvSpPr>
        <xdr:cNvPr id="60" name="Line 18">
          <a:extLst>
            <a:ext uri="{FF2B5EF4-FFF2-40B4-BE49-F238E27FC236}">
              <a16:creationId xmlns:a16="http://schemas.microsoft.com/office/drawing/2014/main" id="{61D1BD60-4A08-4198-8E5F-867D38761CA2}"/>
            </a:ext>
          </a:extLst>
        </xdr:cNvPr>
        <xdr:cNvSpPr>
          <a:spLocks noChangeShapeType="1"/>
        </xdr:cNvSpPr>
      </xdr:nvSpPr>
      <xdr:spPr bwMode="auto">
        <a:xfrm>
          <a:off x="389572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8</xdr:row>
      <xdr:rowOff>104775</xdr:rowOff>
    </xdr:from>
    <xdr:to>
      <xdr:col>7</xdr:col>
      <xdr:colOff>647700</xdr:colOff>
      <xdr:row>8</xdr:row>
      <xdr:rowOff>104775</xdr:rowOff>
    </xdr:to>
    <xdr:sp macro="" textlink="">
      <xdr:nvSpPr>
        <xdr:cNvPr id="61" name="Line 19">
          <a:extLst>
            <a:ext uri="{FF2B5EF4-FFF2-40B4-BE49-F238E27FC236}">
              <a16:creationId xmlns:a16="http://schemas.microsoft.com/office/drawing/2014/main" id="{E219BCCF-6F3A-4EFA-BFAB-C7BB88A0F9F7}"/>
            </a:ext>
          </a:extLst>
        </xdr:cNvPr>
        <xdr:cNvSpPr>
          <a:spLocks noChangeShapeType="1"/>
        </xdr:cNvSpPr>
      </xdr:nvSpPr>
      <xdr:spPr bwMode="auto">
        <a:xfrm flipH="1">
          <a:off x="4419600" y="1571625"/>
          <a:ext cx="619125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8</xdr:row>
      <xdr:rowOff>85725</xdr:rowOff>
    </xdr:from>
    <xdr:to>
      <xdr:col>10</xdr:col>
      <xdr:colOff>9525</xdr:colOff>
      <xdr:row>8</xdr:row>
      <xdr:rowOff>85725</xdr:rowOff>
    </xdr:to>
    <xdr:sp macro="" textlink="">
      <xdr:nvSpPr>
        <xdr:cNvPr id="62" name="Line 20">
          <a:extLst>
            <a:ext uri="{FF2B5EF4-FFF2-40B4-BE49-F238E27FC236}">
              <a16:creationId xmlns:a16="http://schemas.microsoft.com/office/drawing/2014/main" id="{543FF874-71FB-4762-B3FC-97387297C2B6}"/>
            </a:ext>
          </a:extLst>
        </xdr:cNvPr>
        <xdr:cNvSpPr>
          <a:spLocks noChangeShapeType="1"/>
        </xdr:cNvSpPr>
      </xdr:nvSpPr>
      <xdr:spPr bwMode="auto">
        <a:xfrm flipH="1">
          <a:off x="5819775" y="15525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314325</xdr:colOff>
      <xdr:row>8</xdr:row>
      <xdr:rowOff>104775</xdr:rowOff>
    </xdr:from>
    <xdr:to>
      <xdr:col>12</xdr:col>
      <xdr:colOff>247650</xdr:colOff>
      <xdr:row>8</xdr:row>
      <xdr:rowOff>104775</xdr:rowOff>
    </xdr:to>
    <xdr:sp macro="" textlink="">
      <xdr:nvSpPr>
        <xdr:cNvPr id="63" name="Line 21">
          <a:extLst>
            <a:ext uri="{FF2B5EF4-FFF2-40B4-BE49-F238E27FC236}">
              <a16:creationId xmlns:a16="http://schemas.microsoft.com/office/drawing/2014/main" id="{FD56E8E5-5931-4F23-84A9-3599B564CA58}"/>
            </a:ext>
          </a:extLst>
        </xdr:cNvPr>
        <xdr:cNvSpPr>
          <a:spLocks noChangeShapeType="1"/>
        </xdr:cNvSpPr>
      </xdr:nvSpPr>
      <xdr:spPr bwMode="auto">
        <a:xfrm flipH="1">
          <a:off x="7410450" y="15716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14</xdr:row>
      <xdr:rowOff>95250</xdr:rowOff>
    </xdr:from>
    <xdr:to>
      <xdr:col>10</xdr:col>
      <xdr:colOff>0</xdr:colOff>
      <xdr:row>14</xdr:row>
      <xdr:rowOff>95250</xdr:rowOff>
    </xdr:to>
    <xdr:sp macro="" textlink="">
      <xdr:nvSpPr>
        <xdr:cNvPr id="64" name="Line 22">
          <a:extLst>
            <a:ext uri="{FF2B5EF4-FFF2-40B4-BE49-F238E27FC236}">
              <a16:creationId xmlns:a16="http://schemas.microsoft.com/office/drawing/2014/main" id="{35FDD392-63F6-4627-8A29-FAD36785E532}"/>
            </a:ext>
          </a:extLst>
        </xdr:cNvPr>
        <xdr:cNvSpPr>
          <a:spLocks noChangeShapeType="1"/>
        </xdr:cNvSpPr>
      </xdr:nvSpPr>
      <xdr:spPr bwMode="auto">
        <a:xfrm>
          <a:off x="5810250" y="25908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16</xdr:row>
      <xdr:rowOff>114300</xdr:rowOff>
    </xdr:from>
    <xdr:to>
      <xdr:col>10</xdr:col>
      <xdr:colOff>9525</xdr:colOff>
      <xdr:row>16</xdr:row>
      <xdr:rowOff>114300</xdr:rowOff>
    </xdr:to>
    <xdr:sp macro="" textlink="">
      <xdr:nvSpPr>
        <xdr:cNvPr id="65" name="Line 23">
          <a:extLst>
            <a:ext uri="{FF2B5EF4-FFF2-40B4-BE49-F238E27FC236}">
              <a16:creationId xmlns:a16="http://schemas.microsoft.com/office/drawing/2014/main" id="{367BF470-BFD0-4D49-8DA2-130301FE18EB}"/>
            </a:ext>
          </a:extLst>
        </xdr:cNvPr>
        <xdr:cNvSpPr>
          <a:spLocks noChangeShapeType="1"/>
        </xdr:cNvSpPr>
      </xdr:nvSpPr>
      <xdr:spPr bwMode="auto">
        <a:xfrm>
          <a:off x="5819775" y="295275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15</xdr:row>
      <xdr:rowOff>114300</xdr:rowOff>
    </xdr:from>
    <xdr:to>
      <xdr:col>10</xdr:col>
      <xdr:colOff>0</xdr:colOff>
      <xdr:row>15</xdr:row>
      <xdr:rowOff>114300</xdr:rowOff>
    </xdr:to>
    <xdr:sp macro="" textlink="">
      <xdr:nvSpPr>
        <xdr:cNvPr id="66" name="Line 24">
          <a:extLst>
            <a:ext uri="{FF2B5EF4-FFF2-40B4-BE49-F238E27FC236}">
              <a16:creationId xmlns:a16="http://schemas.microsoft.com/office/drawing/2014/main" id="{C04E95B3-8DAC-4A2A-B644-167CF9A07351}"/>
            </a:ext>
          </a:extLst>
        </xdr:cNvPr>
        <xdr:cNvSpPr>
          <a:spLocks noChangeShapeType="1"/>
        </xdr:cNvSpPr>
      </xdr:nvSpPr>
      <xdr:spPr bwMode="auto">
        <a:xfrm>
          <a:off x="5810250" y="27813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17</xdr:row>
      <xdr:rowOff>104775</xdr:rowOff>
    </xdr:from>
    <xdr:to>
      <xdr:col>10</xdr:col>
      <xdr:colOff>9525</xdr:colOff>
      <xdr:row>17</xdr:row>
      <xdr:rowOff>104775</xdr:rowOff>
    </xdr:to>
    <xdr:sp macro="" textlink="">
      <xdr:nvSpPr>
        <xdr:cNvPr id="67" name="Line 25">
          <a:extLst>
            <a:ext uri="{FF2B5EF4-FFF2-40B4-BE49-F238E27FC236}">
              <a16:creationId xmlns:a16="http://schemas.microsoft.com/office/drawing/2014/main" id="{71D1643A-5646-4961-9CF6-453A8F64092C}"/>
            </a:ext>
          </a:extLst>
        </xdr:cNvPr>
        <xdr:cNvSpPr>
          <a:spLocks noChangeShapeType="1"/>
        </xdr:cNvSpPr>
      </xdr:nvSpPr>
      <xdr:spPr bwMode="auto">
        <a:xfrm>
          <a:off x="581977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17</xdr:row>
      <xdr:rowOff>38100</xdr:rowOff>
    </xdr:from>
    <xdr:to>
      <xdr:col>7</xdr:col>
      <xdr:colOff>657225</xdr:colOff>
      <xdr:row>19</xdr:row>
      <xdr:rowOff>152400</xdr:rowOff>
    </xdr:to>
    <xdr:sp macro="" textlink="">
      <xdr:nvSpPr>
        <xdr:cNvPr id="68" name="AutoShape 26">
          <a:extLst>
            <a:ext uri="{FF2B5EF4-FFF2-40B4-BE49-F238E27FC236}">
              <a16:creationId xmlns:a16="http://schemas.microsoft.com/office/drawing/2014/main" id="{6E934347-8B3B-4EAE-B3FB-BBD5DE77E45E}"/>
            </a:ext>
          </a:extLst>
        </xdr:cNvPr>
        <xdr:cNvSpPr>
          <a:spLocks noChangeArrowheads="1"/>
        </xdr:cNvSpPr>
      </xdr:nvSpPr>
      <xdr:spPr bwMode="auto">
        <a:xfrm>
          <a:off x="4524375" y="3048000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238125</xdr:colOff>
      <xdr:row>17</xdr:row>
      <xdr:rowOff>28575</xdr:rowOff>
    </xdr:from>
    <xdr:to>
      <xdr:col>12</xdr:col>
      <xdr:colOff>76200</xdr:colOff>
      <xdr:row>19</xdr:row>
      <xdr:rowOff>142875</xdr:rowOff>
    </xdr:to>
    <xdr:sp macro="" textlink="">
      <xdr:nvSpPr>
        <xdr:cNvPr id="69" name="AutoShape 27">
          <a:extLst>
            <a:ext uri="{FF2B5EF4-FFF2-40B4-BE49-F238E27FC236}">
              <a16:creationId xmlns:a16="http://schemas.microsoft.com/office/drawing/2014/main" id="{F7D81713-C69B-4068-8AB0-CC1A50DD61E9}"/>
            </a:ext>
          </a:extLst>
        </xdr:cNvPr>
        <xdr:cNvSpPr>
          <a:spLocks noChangeArrowheads="1"/>
        </xdr:cNvSpPr>
      </xdr:nvSpPr>
      <xdr:spPr bwMode="auto">
        <a:xfrm>
          <a:off x="7334250" y="3038475"/>
          <a:ext cx="51435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104775</xdr:colOff>
      <xdr:row>17</xdr:row>
      <xdr:rowOff>38100</xdr:rowOff>
    </xdr:from>
    <xdr:to>
      <xdr:col>10</xdr:col>
      <xdr:colOff>561975</xdr:colOff>
      <xdr:row>20</xdr:row>
      <xdr:rowOff>47625</xdr:rowOff>
    </xdr:to>
    <xdr:sp macro="" textlink="">
      <xdr:nvSpPr>
        <xdr:cNvPr id="70" name="AutoShape 28">
          <a:extLst>
            <a:ext uri="{FF2B5EF4-FFF2-40B4-BE49-F238E27FC236}">
              <a16:creationId xmlns:a16="http://schemas.microsoft.com/office/drawing/2014/main" id="{A189BB1C-18F5-4178-AB3B-BD231991C3C2}"/>
            </a:ext>
          </a:extLst>
        </xdr:cNvPr>
        <xdr:cNvSpPr>
          <a:spLocks noChangeArrowheads="1"/>
        </xdr:cNvSpPr>
      </xdr:nvSpPr>
      <xdr:spPr bwMode="auto">
        <a:xfrm rot="5400000">
          <a:off x="64912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17</xdr:row>
      <xdr:rowOff>38100</xdr:rowOff>
    </xdr:from>
    <xdr:to>
      <xdr:col>6</xdr:col>
      <xdr:colOff>561975</xdr:colOff>
      <xdr:row>20</xdr:row>
      <xdr:rowOff>47625</xdr:rowOff>
    </xdr:to>
    <xdr:sp macro="" textlink="">
      <xdr:nvSpPr>
        <xdr:cNvPr id="71" name="AutoShape 29">
          <a:extLst>
            <a:ext uri="{FF2B5EF4-FFF2-40B4-BE49-F238E27FC236}">
              <a16:creationId xmlns:a16="http://schemas.microsoft.com/office/drawing/2014/main" id="{37CAC8F5-E4E9-430D-B456-BC623130CEBD}"/>
            </a:ext>
          </a:extLst>
        </xdr:cNvPr>
        <xdr:cNvSpPr>
          <a:spLocks noChangeArrowheads="1"/>
        </xdr:cNvSpPr>
      </xdr:nvSpPr>
      <xdr:spPr bwMode="auto">
        <a:xfrm rot="5400000">
          <a:off x="37861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6</xdr:row>
      <xdr:rowOff>114300</xdr:rowOff>
    </xdr:from>
    <xdr:to>
      <xdr:col>0</xdr:col>
      <xdr:colOff>523875</xdr:colOff>
      <xdr:row>19</xdr:row>
      <xdr:rowOff>85725</xdr:rowOff>
    </xdr:to>
    <xdr:sp macro="" textlink="">
      <xdr:nvSpPr>
        <xdr:cNvPr id="72" name="Text Box 30">
          <a:extLst>
            <a:ext uri="{FF2B5EF4-FFF2-40B4-BE49-F238E27FC236}">
              <a16:creationId xmlns:a16="http://schemas.microsoft.com/office/drawing/2014/main" id="{DFA8CF46-C448-4F71-A3D8-40E2C49CB711}"/>
            </a:ext>
          </a:extLst>
        </xdr:cNvPr>
        <xdr:cNvSpPr txBox="1">
          <a:spLocks noChangeArrowheads="1"/>
        </xdr:cNvSpPr>
      </xdr:nvSpPr>
      <xdr:spPr bwMode="auto">
        <a:xfrm>
          <a:off x="133350" y="1238250"/>
          <a:ext cx="390525" cy="220027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１１００ｍ折り返し地点から上流は航行禁止</a:t>
          </a:r>
        </a:p>
      </xdr:txBody>
    </xdr:sp>
    <xdr:clientData/>
  </xdr:twoCellAnchor>
  <xdr:twoCellAnchor>
    <xdr:from>
      <xdr:col>13</xdr:col>
      <xdr:colOff>400050</xdr:colOff>
      <xdr:row>9</xdr:row>
      <xdr:rowOff>123825</xdr:rowOff>
    </xdr:from>
    <xdr:to>
      <xdr:col>14</xdr:col>
      <xdr:colOff>219075</xdr:colOff>
      <xdr:row>16</xdr:row>
      <xdr:rowOff>85725</xdr:rowOff>
    </xdr:to>
    <xdr:sp macro="" textlink="">
      <xdr:nvSpPr>
        <xdr:cNvPr id="73" name="AutoShape 32">
          <a:extLst>
            <a:ext uri="{FF2B5EF4-FFF2-40B4-BE49-F238E27FC236}">
              <a16:creationId xmlns:a16="http://schemas.microsoft.com/office/drawing/2014/main" id="{DB7C3516-7969-463B-AF6C-E9128A1616BD}"/>
            </a:ext>
          </a:extLst>
        </xdr:cNvPr>
        <xdr:cNvSpPr>
          <a:spLocks noChangeArrowheads="1"/>
        </xdr:cNvSpPr>
      </xdr:nvSpPr>
      <xdr:spPr bwMode="auto">
        <a:xfrm rot="-5527266">
          <a:off x="8515350" y="2095500"/>
          <a:ext cx="1162050" cy="495300"/>
        </a:xfrm>
        <a:prstGeom prst="curvedUpArrow">
          <a:avLst>
            <a:gd name="adj1" fmla="val 46038"/>
            <a:gd name="adj2" fmla="val 92075"/>
            <a:gd name="adj3" fmla="val 41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9</xdr:row>
      <xdr:rowOff>47625</xdr:rowOff>
    </xdr:from>
    <xdr:to>
      <xdr:col>5</xdr:col>
      <xdr:colOff>247650</xdr:colOff>
      <xdr:row>16</xdr:row>
      <xdr:rowOff>57150</xdr:rowOff>
    </xdr:to>
    <xdr:sp macro="" textlink="">
      <xdr:nvSpPr>
        <xdr:cNvPr id="74" name="AutoShape 33">
          <a:extLst>
            <a:ext uri="{FF2B5EF4-FFF2-40B4-BE49-F238E27FC236}">
              <a16:creationId xmlns:a16="http://schemas.microsoft.com/office/drawing/2014/main" id="{6346CE14-1B4A-4E20-B56F-94265CEB6303}"/>
            </a:ext>
          </a:extLst>
        </xdr:cNvPr>
        <xdr:cNvSpPr>
          <a:spLocks noChangeArrowheads="1"/>
        </xdr:cNvSpPr>
      </xdr:nvSpPr>
      <xdr:spPr bwMode="auto">
        <a:xfrm rot="5400000">
          <a:off x="2466975" y="2171700"/>
          <a:ext cx="1209675" cy="238125"/>
        </a:xfrm>
        <a:prstGeom prst="curvedUpArrow">
          <a:avLst>
            <a:gd name="adj1" fmla="val 69286"/>
            <a:gd name="adj2" fmla="val 203200"/>
            <a:gd name="adj3" fmla="val 742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22</xdr:row>
      <xdr:rowOff>161925</xdr:rowOff>
    </xdr:from>
    <xdr:to>
      <xdr:col>2</xdr:col>
      <xdr:colOff>666750</xdr:colOff>
      <xdr:row>23</xdr:row>
      <xdr:rowOff>0</xdr:rowOff>
    </xdr:to>
    <xdr:sp macro="" textlink="">
      <xdr:nvSpPr>
        <xdr:cNvPr id="75" name="Line 34">
          <a:extLst>
            <a:ext uri="{FF2B5EF4-FFF2-40B4-BE49-F238E27FC236}">
              <a16:creationId xmlns:a16="http://schemas.microsoft.com/office/drawing/2014/main" id="{28BF380D-BE86-4964-97A8-CDA86E3A948D}"/>
            </a:ext>
          </a:extLst>
        </xdr:cNvPr>
        <xdr:cNvSpPr>
          <a:spLocks noChangeShapeType="1"/>
        </xdr:cNvSpPr>
      </xdr:nvSpPr>
      <xdr:spPr bwMode="auto">
        <a:xfrm flipV="1">
          <a:off x="723900" y="4029075"/>
          <a:ext cx="12954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21</xdr:row>
      <xdr:rowOff>104775</xdr:rowOff>
    </xdr:from>
    <xdr:to>
      <xdr:col>5</xdr:col>
      <xdr:colOff>428625</xdr:colOff>
      <xdr:row>23</xdr:row>
      <xdr:rowOff>161925</xdr:rowOff>
    </xdr:to>
    <xdr:sp macro="" textlink="">
      <xdr:nvSpPr>
        <xdr:cNvPr id="76" name="Freeform 35">
          <a:extLst>
            <a:ext uri="{FF2B5EF4-FFF2-40B4-BE49-F238E27FC236}">
              <a16:creationId xmlns:a16="http://schemas.microsoft.com/office/drawing/2014/main" id="{D0A3EBB4-50F7-428A-8EDE-E80710E384F4}"/>
            </a:ext>
          </a:extLst>
        </xdr:cNvPr>
        <xdr:cNvSpPr>
          <a:spLocks/>
        </xdr:cNvSpPr>
      </xdr:nvSpPr>
      <xdr:spPr bwMode="auto">
        <a:xfrm>
          <a:off x="2028825" y="3800475"/>
          <a:ext cx="1343025" cy="400050"/>
        </a:xfrm>
        <a:custGeom>
          <a:avLst/>
          <a:gdLst>
            <a:gd name="T0" fmla="*/ 0 w 118"/>
            <a:gd name="T1" fmla="*/ 2147483646 h 42"/>
            <a:gd name="T2" fmla="*/ 2147483646 w 118"/>
            <a:gd name="T3" fmla="*/ 2147483646 h 42"/>
            <a:gd name="T4" fmla="*/ 2147483646 w 118"/>
            <a:gd name="T5" fmla="*/ 2147483646 h 42"/>
            <a:gd name="T6" fmla="*/ 2147483646 w 118"/>
            <a:gd name="T7" fmla="*/ 2147483646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57150</xdr:rowOff>
    </xdr:from>
    <xdr:to>
      <xdr:col>10</xdr:col>
      <xdr:colOff>552450</xdr:colOff>
      <xdr:row>7</xdr:row>
      <xdr:rowOff>123825</xdr:rowOff>
    </xdr:to>
    <xdr:sp macro="" textlink="">
      <xdr:nvSpPr>
        <xdr:cNvPr id="77" name="Line 36">
          <a:extLst>
            <a:ext uri="{FF2B5EF4-FFF2-40B4-BE49-F238E27FC236}">
              <a16:creationId xmlns:a16="http://schemas.microsoft.com/office/drawing/2014/main" id="{89BD5230-2BC1-4244-81CE-F340D4859962}"/>
            </a:ext>
          </a:extLst>
        </xdr:cNvPr>
        <xdr:cNvSpPr>
          <a:spLocks noChangeShapeType="1"/>
        </xdr:cNvSpPr>
      </xdr:nvSpPr>
      <xdr:spPr bwMode="auto">
        <a:xfrm flipV="1">
          <a:off x="695325" y="1009650"/>
          <a:ext cx="62769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1</xdr:row>
      <xdr:rowOff>28575</xdr:rowOff>
    </xdr:from>
    <xdr:to>
      <xdr:col>11</xdr:col>
      <xdr:colOff>228600</xdr:colOff>
      <xdr:row>5</xdr:row>
      <xdr:rowOff>57150</xdr:rowOff>
    </xdr:to>
    <xdr:sp macro="" textlink="">
      <xdr:nvSpPr>
        <xdr:cNvPr id="78" name="Freeform 37">
          <a:extLst>
            <a:ext uri="{FF2B5EF4-FFF2-40B4-BE49-F238E27FC236}">
              <a16:creationId xmlns:a16="http://schemas.microsoft.com/office/drawing/2014/main" id="{51C0CC56-8BBA-4425-B0E9-AAD04A37B2D0}"/>
            </a:ext>
          </a:extLst>
        </xdr:cNvPr>
        <xdr:cNvSpPr>
          <a:spLocks/>
        </xdr:cNvSpPr>
      </xdr:nvSpPr>
      <xdr:spPr bwMode="auto">
        <a:xfrm>
          <a:off x="6953250" y="295275"/>
          <a:ext cx="371475" cy="714375"/>
        </a:xfrm>
        <a:custGeom>
          <a:avLst/>
          <a:gdLst>
            <a:gd name="T0" fmla="*/ 0 w 40"/>
            <a:gd name="T1" fmla="*/ 2147483646 h 59"/>
            <a:gd name="T2" fmla="*/ 2147483646 w 40"/>
            <a:gd name="T3" fmla="*/ 2147483646 h 59"/>
            <a:gd name="T4" fmla="*/ 2147483646 w 40"/>
            <a:gd name="T5" fmla="*/ 2147483646 h 59"/>
            <a:gd name="T6" fmla="*/ 2147483646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2</xdr:row>
      <xdr:rowOff>133350</xdr:rowOff>
    </xdr:from>
    <xdr:to>
      <xdr:col>13</xdr:col>
      <xdr:colOff>114300</xdr:colOff>
      <xdr:row>5</xdr:row>
      <xdr:rowOff>9525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4E8C2ADF-E01C-4950-8F58-B64EEB6EB045}"/>
            </a:ext>
          </a:extLst>
        </xdr:cNvPr>
        <xdr:cNvSpPr txBox="1">
          <a:spLocks noChangeArrowheads="1"/>
        </xdr:cNvSpPr>
      </xdr:nvSpPr>
      <xdr:spPr bwMode="auto">
        <a:xfrm>
          <a:off x="7429500" y="571500"/>
          <a:ext cx="1133475" cy="39052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練習水域は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使用禁止</a:t>
          </a:r>
        </a:p>
      </xdr:txBody>
    </xdr:sp>
    <xdr:clientData/>
  </xdr:twoCellAnchor>
  <xdr:twoCellAnchor>
    <xdr:from>
      <xdr:col>13</xdr:col>
      <xdr:colOff>609600</xdr:colOff>
      <xdr:row>17</xdr:row>
      <xdr:rowOff>57150</xdr:rowOff>
    </xdr:from>
    <xdr:to>
      <xdr:col>15</xdr:col>
      <xdr:colOff>657225</xdr:colOff>
      <xdr:row>23</xdr:row>
      <xdr:rowOff>114300</xdr:rowOff>
    </xdr:to>
    <xdr:sp macro="" textlink="">
      <xdr:nvSpPr>
        <xdr:cNvPr id="80" name="AutoShape 39">
          <a:extLst>
            <a:ext uri="{FF2B5EF4-FFF2-40B4-BE49-F238E27FC236}">
              <a16:creationId xmlns:a16="http://schemas.microsoft.com/office/drawing/2014/main" id="{90B64D44-F659-41A3-A5D2-AEB6ABE04B87}"/>
            </a:ext>
          </a:extLst>
        </xdr:cNvPr>
        <xdr:cNvSpPr>
          <a:spLocks noChangeArrowheads="1"/>
        </xdr:cNvSpPr>
      </xdr:nvSpPr>
      <xdr:spPr bwMode="auto">
        <a:xfrm>
          <a:off x="9058275" y="3067050"/>
          <a:ext cx="1400175" cy="1085850"/>
        </a:xfrm>
        <a:prstGeom prst="wedgeRoundRectCallout">
          <a:avLst>
            <a:gd name="adj1" fmla="val -22481"/>
            <a:gd name="adj2" fmla="val -978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ゴール後の水域が狭いので、すみやかに折り返すこと。その際は後続の艇の接近に注意する。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114300</xdr:colOff>
      <xdr:row>6</xdr:row>
      <xdr:rowOff>161925</xdr:rowOff>
    </xdr:from>
    <xdr:to>
      <xdr:col>14</xdr:col>
      <xdr:colOff>438150</xdr:colOff>
      <xdr:row>9</xdr:row>
      <xdr:rowOff>85725</xdr:rowOff>
    </xdr:to>
    <xdr:sp macro="" textlink="">
      <xdr:nvSpPr>
        <xdr:cNvPr id="81" name="AutoShape 40">
          <a:extLst>
            <a:ext uri="{FF2B5EF4-FFF2-40B4-BE49-F238E27FC236}">
              <a16:creationId xmlns:a16="http://schemas.microsoft.com/office/drawing/2014/main" id="{042167E1-ADB6-484F-BE42-3E40C2946014}"/>
            </a:ext>
          </a:extLst>
        </xdr:cNvPr>
        <xdr:cNvSpPr>
          <a:spLocks noChangeArrowheads="1"/>
        </xdr:cNvSpPr>
      </xdr:nvSpPr>
      <xdr:spPr bwMode="auto">
        <a:xfrm>
          <a:off x="8562975" y="1285875"/>
          <a:ext cx="1000125" cy="438150"/>
        </a:xfrm>
        <a:prstGeom prst="wedgeRectCallout">
          <a:avLst>
            <a:gd name="adj1" fmla="val -59435"/>
            <a:gd name="adj2" fmla="val 804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ゴールライン対岸よりのワイヤーに注意</a:t>
          </a:r>
        </a:p>
      </xdr:txBody>
    </xdr:sp>
    <xdr:clientData/>
  </xdr:twoCellAnchor>
  <xdr:twoCellAnchor>
    <xdr:from>
      <xdr:col>0</xdr:col>
      <xdr:colOff>57150</xdr:colOff>
      <xdr:row>0</xdr:row>
      <xdr:rowOff>104775</xdr:rowOff>
    </xdr:from>
    <xdr:to>
      <xdr:col>6</xdr:col>
      <xdr:colOff>542925</xdr:colOff>
      <xdr:row>3</xdr:row>
      <xdr:rowOff>57150</xdr:rowOff>
    </xdr:to>
    <xdr:sp macro="" textlink="">
      <xdr:nvSpPr>
        <xdr:cNvPr id="82" name="Text Box 41">
          <a:extLst>
            <a:ext uri="{FF2B5EF4-FFF2-40B4-BE49-F238E27FC236}">
              <a16:creationId xmlns:a16="http://schemas.microsoft.com/office/drawing/2014/main" id="{B1FAECAB-7BDD-4F6D-BEA7-2D8E1DD7AC66}"/>
            </a:ext>
          </a:extLst>
        </xdr:cNvPr>
        <xdr:cNvSpPr txBox="1">
          <a:spLocks noChangeArrowheads="1"/>
        </xdr:cNvSpPr>
      </xdr:nvSpPr>
      <xdr:spPr bwMode="auto">
        <a:xfrm>
          <a:off x="57150" y="104775"/>
          <a:ext cx="4200525" cy="561975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高校２次予選・航行ルール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試合日の試合開始１時間前まで。試合終了３０分後より。</a:t>
          </a:r>
        </a:p>
      </xdr:txBody>
    </xdr:sp>
    <xdr:clientData/>
  </xdr:twoCellAnchor>
  <xdr:twoCellAnchor>
    <xdr:from>
      <xdr:col>3</xdr:col>
      <xdr:colOff>571500</xdr:colOff>
      <xdr:row>11</xdr:row>
      <xdr:rowOff>38100</xdr:rowOff>
    </xdr:from>
    <xdr:to>
      <xdr:col>4</xdr:col>
      <xdr:colOff>123825</xdr:colOff>
      <xdr:row>17</xdr:row>
      <xdr:rowOff>142875</xdr:rowOff>
    </xdr:to>
    <xdr:sp macro="" textlink="">
      <xdr:nvSpPr>
        <xdr:cNvPr id="83" name="Text Box 42">
          <a:extLst>
            <a:ext uri="{FF2B5EF4-FFF2-40B4-BE49-F238E27FC236}">
              <a16:creationId xmlns:a16="http://schemas.microsoft.com/office/drawing/2014/main" id="{D92DBBD5-89C4-47B8-AAA3-B6A8A762827B}"/>
            </a:ext>
          </a:extLst>
        </xdr:cNvPr>
        <xdr:cNvSpPr txBox="1">
          <a:spLocks noChangeArrowheads="1"/>
        </xdr:cNvSpPr>
      </xdr:nvSpPr>
      <xdr:spPr bwMode="auto">
        <a:xfrm>
          <a:off x="2600325" y="2019300"/>
          <a:ext cx="22860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</xdr:txBody>
    </xdr:sp>
    <xdr:clientData/>
  </xdr:twoCellAnchor>
  <xdr:twoCellAnchor>
    <xdr:from>
      <xdr:col>7</xdr:col>
      <xdr:colOff>390525</xdr:colOff>
      <xdr:row>1</xdr:row>
      <xdr:rowOff>85725</xdr:rowOff>
    </xdr:from>
    <xdr:to>
      <xdr:col>8</xdr:col>
      <xdr:colOff>523875</xdr:colOff>
      <xdr:row>1</xdr:row>
      <xdr:rowOff>85725</xdr:rowOff>
    </xdr:to>
    <xdr:sp macro="" textlink="">
      <xdr:nvSpPr>
        <xdr:cNvPr id="84" name="Line 43">
          <a:extLst>
            <a:ext uri="{FF2B5EF4-FFF2-40B4-BE49-F238E27FC236}">
              <a16:creationId xmlns:a16="http://schemas.microsoft.com/office/drawing/2014/main" id="{42DAC534-1F0F-43BF-A4DC-E39390FD6111}"/>
            </a:ext>
          </a:extLst>
        </xdr:cNvPr>
        <xdr:cNvSpPr>
          <a:spLocks noChangeShapeType="1"/>
        </xdr:cNvSpPr>
      </xdr:nvSpPr>
      <xdr:spPr bwMode="auto">
        <a:xfrm flipH="1">
          <a:off x="4781550" y="3524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0</xdr:row>
      <xdr:rowOff>180975</xdr:rowOff>
    </xdr:from>
    <xdr:to>
      <xdr:col>8</xdr:col>
      <xdr:colOff>180975</xdr:colOff>
      <xdr:row>2</xdr:row>
      <xdr:rowOff>76200</xdr:rowOff>
    </xdr:to>
    <xdr:sp macro="" textlink="">
      <xdr:nvSpPr>
        <xdr:cNvPr id="85" name="Line 44">
          <a:extLst>
            <a:ext uri="{FF2B5EF4-FFF2-40B4-BE49-F238E27FC236}">
              <a16:creationId xmlns:a16="http://schemas.microsoft.com/office/drawing/2014/main" id="{BEE00D1B-4FB4-46A9-9918-BE60DAD9E4B7}"/>
            </a:ext>
          </a:extLst>
        </xdr:cNvPr>
        <xdr:cNvSpPr>
          <a:spLocks noChangeShapeType="1"/>
        </xdr:cNvSpPr>
      </xdr:nvSpPr>
      <xdr:spPr bwMode="auto">
        <a:xfrm>
          <a:off x="5248275" y="18097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5</xdr:row>
      <xdr:rowOff>19050</xdr:rowOff>
    </xdr:from>
    <xdr:to>
      <xdr:col>15</xdr:col>
      <xdr:colOff>352425</xdr:colOff>
      <xdr:row>24</xdr:row>
      <xdr:rowOff>0</xdr:rowOff>
    </xdr:to>
    <xdr:sp macro="" textlink="">
      <xdr:nvSpPr>
        <xdr:cNvPr id="86" name="Freeform 1">
          <a:extLst>
            <a:ext uri="{FF2B5EF4-FFF2-40B4-BE49-F238E27FC236}">
              <a16:creationId xmlns:a16="http://schemas.microsoft.com/office/drawing/2014/main" id="{92827252-F6E1-42B7-BF7A-CFBE70D6025D}"/>
            </a:ext>
          </a:extLst>
        </xdr:cNvPr>
        <xdr:cNvSpPr>
          <a:spLocks/>
        </xdr:cNvSpPr>
      </xdr:nvSpPr>
      <xdr:spPr bwMode="auto">
        <a:xfrm>
          <a:off x="7791450" y="971550"/>
          <a:ext cx="2362200" cy="3238500"/>
        </a:xfrm>
        <a:custGeom>
          <a:avLst/>
          <a:gdLst>
            <a:gd name="T0" fmla="*/ 0 w 251"/>
            <a:gd name="T1" fmla="*/ 2147483646 h 343"/>
            <a:gd name="T2" fmla="*/ 2147483646 w 251"/>
            <a:gd name="T3" fmla="*/ 2147483646 h 343"/>
            <a:gd name="T4" fmla="*/ 2147483646 w 251"/>
            <a:gd name="T5" fmla="*/ 2147483646 h 343"/>
            <a:gd name="T6" fmla="*/ 2147483646 w 251"/>
            <a:gd name="T7" fmla="*/ 2147483646 h 343"/>
            <a:gd name="T8" fmla="*/ 2147483646 w 251"/>
            <a:gd name="T9" fmla="*/ 2147483646 h 343"/>
            <a:gd name="T10" fmla="*/ 2147483646 w 251"/>
            <a:gd name="T11" fmla="*/ 2147483646 h 343"/>
            <a:gd name="T12" fmla="*/ 2147483646 w 251"/>
            <a:gd name="T13" fmla="*/ 2147483646 h 343"/>
            <a:gd name="T14" fmla="*/ 2147483646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200025</xdr:colOff>
      <xdr:row>24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CF7CB9F6-AC7B-4F4D-9B76-E8ED55C98E5E}"/>
            </a:ext>
          </a:extLst>
        </xdr:cNvPr>
        <xdr:cNvSpPr>
          <a:spLocks noChangeShapeType="1"/>
        </xdr:cNvSpPr>
      </xdr:nvSpPr>
      <xdr:spPr bwMode="auto">
        <a:xfrm>
          <a:off x="6619875" y="421005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24</xdr:row>
      <xdr:rowOff>0</xdr:rowOff>
    </xdr:from>
    <xdr:to>
      <xdr:col>8</xdr:col>
      <xdr:colOff>219075</xdr:colOff>
      <xdr:row>24</xdr:row>
      <xdr:rowOff>0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A6122FF7-7F2B-495F-B740-EF14C054C4EF}"/>
            </a:ext>
          </a:extLst>
        </xdr:cNvPr>
        <xdr:cNvSpPr>
          <a:spLocks noChangeShapeType="1"/>
        </xdr:cNvSpPr>
      </xdr:nvSpPr>
      <xdr:spPr bwMode="auto">
        <a:xfrm>
          <a:off x="4171950" y="4210050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28575</xdr:rowOff>
    </xdr:from>
    <xdr:to>
      <xdr:col>6</xdr:col>
      <xdr:colOff>209550</xdr:colOff>
      <xdr:row>23</xdr:row>
      <xdr:rowOff>161925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id="{D589CEC3-630C-41D5-9471-7B97249D4A13}"/>
            </a:ext>
          </a:extLst>
        </xdr:cNvPr>
        <xdr:cNvSpPr>
          <a:spLocks noChangeArrowheads="1"/>
        </xdr:cNvSpPr>
      </xdr:nvSpPr>
      <xdr:spPr bwMode="auto">
        <a:xfrm>
          <a:off x="3714750" y="3895725"/>
          <a:ext cx="2095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533400</xdr:colOff>
      <xdr:row>22</xdr:row>
      <xdr:rowOff>28575</xdr:rowOff>
    </xdr:from>
    <xdr:to>
      <xdr:col>7</xdr:col>
      <xdr:colOff>57150</xdr:colOff>
      <xdr:row>24</xdr:row>
      <xdr:rowOff>19050</xdr:rowOff>
    </xdr:to>
    <xdr:sp macro="" textlink="">
      <xdr:nvSpPr>
        <xdr:cNvPr id="90" name="Rectangle 5">
          <a:extLst>
            <a:ext uri="{FF2B5EF4-FFF2-40B4-BE49-F238E27FC236}">
              <a16:creationId xmlns:a16="http://schemas.microsoft.com/office/drawing/2014/main" id="{AC668983-64B4-4247-8B0C-77A75AB9702D}"/>
            </a:ext>
          </a:extLst>
        </xdr:cNvPr>
        <xdr:cNvSpPr>
          <a:spLocks noChangeArrowheads="1"/>
        </xdr:cNvSpPr>
      </xdr:nvSpPr>
      <xdr:spPr bwMode="auto">
        <a:xfrm>
          <a:off x="4248150" y="3895725"/>
          <a:ext cx="2000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22</xdr:row>
      <xdr:rowOff>28575</xdr:rowOff>
    </xdr:from>
    <xdr:to>
      <xdr:col>7</xdr:col>
      <xdr:colOff>371475</xdr:colOff>
      <xdr:row>24</xdr:row>
      <xdr:rowOff>28575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id="{E46C4F50-9FC3-44B0-87B8-86AF4485EB5C}"/>
            </a:ext>
          </a:extLst>
        </xdr:cNvPr>
        <xdr:cNvSpPr>
          <a:spLocks noChangeArrowheads="1"/>
        </xdr:cNvSpPr>
      </xdr:nvSpPr>
      <xdr:spPr bwMode="auto">
        <a:xfrm>
          <a:off x="4552950" y="3895725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22</xdr:row>
      <xdr:rowOff>19050</xdr:rowOff>
    </xdr:from>
    <xdr:to>
      <xdr:col>7</xdr:col>
      <xdr:colOff>647700</xdr:colOff>
      <xdr:row>24</xdr:row>
      <xdr:rowOff>19050</xdr:rowOff>
    </xdr:to>
    <xdr:sp macro="" textlink="">
      <xdr:nvSpPr>
        <xdr:cNvPr id="92" name="Rectangle 7">
          <a:extLst>
            <a:ext uri="{FF2B5EF4-FFF2-40B4-BE49-F238E27FC236}">
              <a16:creationId xmlns:a16="http://schemas.microsoft.com/office/drawing/2014/main" id="{9FC3B05C-0E57-4DFD-B3DD-0AAAEB92BC39}"/>
            </a:ext>
          </a:extLst>
        </xdr:cNvPr>
        <xdr:cNvSpPr>
          <a:spLocks noChangeArrowheads="1"/>
        </xdr:cNvSpPr>
      </xdr:nvSpPr>
      <xdr:spPr bwMode="auto">
        <a:xfrm>
          <a:off x="4829175" y="3886200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22</xdr:row>
      <xdr:rowOff>0</xdr:rowOff>
    </xdr:from>
    <xdr:to>
      <xdr:col>10</xdr:col>
      <xdr:colOff>542925</xdr:colOff>
      <xdr:row>24</xdr:row>
      <xdr:rowOff>19050</xdr:rowOff>
    </xdr:to>
    <xdr:sp macro="" textlink="">
      <xdr:nvSpPr>
        <xdr:cNvPr id="93" name="Rectangle 8">
          <a:extLst>
            <a:ext uri="{FF2B5EF4-FFF2-40B4-BE49-F238E27FC236}">
              <a16:creationId xmlns:a16="http://schemas.microsoft.com/office/drawing/2014/main" id="{3ACB4FAC-9195-42AD-8B78-EAF1ECB7329C}"/>
            </a:ext>
          </a:extLst>
        </xdr:cNvPr>
        <xdr:cNvSpPr>
          <a:spLocks noChangeArrowheads="1"/>
        </xdr:cNvSpPr>
      </xdr:nvSpPr>
      <xdr:spPr bwMode="auto">
        <a:xfrm>
          <a:off x="6753225" y="3867150"/>
          <a:ext cx="2095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21</xdr:row>
      <xdr:rowOff>161925</xdr:rowOff>
    </xdr:from>
    <xdr:to>
      <xdr:col>11</xdr:col>
      <xdr:colOff>209550</xdr:colOff>
      <xdr:row>24</xdr:row>
      <xdr:rowOff>19050</xdr:rowOff>
    </xdr:to>
    <xdr:sp macro="" textlink="">
      <xdr:nvSpPr>
        <xdr:cNvPr id="94" name="Rectangle 9">
          <a:extLst>
            <a:ext uri="{FF2B5EF4-FFF2-40B4-BE49-F238E27FC236}">
              <a16:creationId xmlns:a16="http://schemas.microsoft.com/office/drawing/2014/main" id="{75FE6801-F1DB-4A79-854D-95AA7624B18F}"/>
            </a:ext>
          </a:extLst>
        </xdr:cNvPr>
        <xdr:cNvSpPr>
          <a:spLocks noChangeArrowheads="1"/>
        </xdr:cNvSpPr>
      </xdr:nvSpPr>
      <xdr:spPr bwMode="auto">
        <a:xfrm>
          <a:off x="7096125" y="3857625"/>
          <a:ext cx="2095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447675</xdr:colOff>
      <xdr:row>23</xdr:row>
      <xdr:rowOff>152400</xdr:rowOff>
    </xdr:from>
    <xdr:to>
      <xdr:col>5</xdr:col>
      <xdr:colOff>657225</xdr:colOff>
      <xdr:row>23</xdr:row>
      <xdr:rowOff>161925</xdr:rowOff>
    </xdr:to>
    <xdr:sp macro="" textlink="">
      <xdr:nvSpPr>
        <xdr:cNvPr id="95" name="Line 11">
          <a:extLst>
            <a:ext uri="{FF2B5EF4-FFF2-40B4-BE49-F238E27FC236}">
              <a16:creationId xmlns:a16="http://schemas.microsoft.com/office/drawing/2014/main" id="{69226941-B555-40CA-9767-2DF74E39ABC0}"/>
            </a:ext>
          </a:extLst>
        </xdr:cNvPr>
        <xdr:cNvSpPr>
          <a:spLocks noChangeShapeType="1"/>
        </xdr:cNvSpPr>
      </xdr:nvSpPr>
      <xdr:spPr bwMode="auto">
        <a:xfrm flipV="1">
          <a:off x="3390900" y="4191000"/>
          <a:ext cx="2095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23</xdr:row>
      <xdr:rowOff>133350</xdr:rowOff>
    </xdr:from>
    <xdr:to>
      <xdr:col>6</xdr:col>
      <xdr:colOff>352425</xdr:colOff>
      <xdr:row>27</xdr:row>
      <xdr:rowOff>123825</xdr:rowOff>
    </xdr:to>
    <xdr:sp macro="" textlink="">
      <xdr:nvSpPr>
        <xdr:cNvPr id="96" name="Freeform 12">
          <a:extLst>
            <a:ext uri="{FF2B5EF4-FFF2-40B4-BE49-F238E27FC236}">
              <a16:creationId xmlns:a16="http://schemas.microsoft.com/office/drawing/2014/main" id="{2233AD1E-FE99-4836-84D5-7CFAFD54A288}"/>
            </a:ext>
          </a:extLst>
        </xdr:cNvPr>
        <xdr:cNvSpPr>
          <a:spLocks/>
        </xdr:cNvSpPr>
      </xdr:nvSpPr>
      <xdr:spPr bwMode="auto">
        <a:xfrm>
          <a:off x="3914775" y="4171950"/>
          <a:ext cx="152400" cy="676275"/>
        </a:xfrm>
        <a:custGeom>
          <a:avLst/>
          <a:gdLst>
            <a:gd name="T0" fmla="*/ 0 w 16"/>
            <a:gd name="T1" fmla="*/ 2147483646 h 108"/>
            <a:gd name="T2" fmla="*/ 2147483646 w 16"/>
            <a:gd name="T3" fmla="*/ 2147483646 h 108"/>
            <a:gd name="T4" fmla="*/ 2147483646 w 16"/>
            <a:gd name="T5" fmla="*/ 2147483646 h 108"/>
            <a:gd name="T6" fmla="*/ 2147483646 w 16"/>
            <a:gd name="T7" fmla="*/ 2147483646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390525</xdr:colOff>
      <xdr:row>24</xdr:row>
      <xdr:rowOff>28575</xdr:rowOff>
    </xdr:from>
    <xdr:to>
      <xdr:col>6</xdr:col>
      <xdr:colOff>466725</xdr:colOff>
      <xdr:row>28</xdr:row>
      <xdr:rowOff>0</xdr:rowOff>
    </xdr:to>
    <xdr:sp macro="" textlink="">
      <xdr:nvSpPr>
        <xdr:cNvPr id="97" name="Freeform 13">
          <a:extLst>
            <a:ext uri="{FF2B5EF4-FFF2-40B4-BE49-F238E27FC236}">
              <a16:creationId xmlns:a16="http://schemas.microsoft.com/office/drawing/2014/main" id="{599E04BA-A969-4C23-96A5-7A284A21DE84}"/>
            </a:ext>
          </a:extLst>
        </xdr:cNvPr>
        <xdr:cNvSpPr>
          <a:spLocks/>
        </xdr:cNvSpPr>
      </xdr:nvSpPr>
      <xdr:spPr bwMode="auto">
        <a:xfrm>
          <a:off x="4105275" y="4238625"/>
          <a:ext cx="76200" cy="657225"/>
        </a:xfrm>
        <a:custGeom>
          <a:avLst/>
          <a:gdLst>
            <a:gd name="T0" fmla="*/ 2147483646 w 6"/>
            <a:gd name="T1" fmla="*/ 0 h 56"/>
            <a:gd name="T2" fmla="*/ 2147483646 w 6"/>
            <a:gd name="T3" fmla="*/ 2147483646 h 56"/>
            <a:gd name="T4" fmla="*/ 0 w 6"/>
            <a:gd name="T5" fmla="*/ 2147483646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22</xdr:row>
      <xdr:rowOff>123825</xdr:rowOff>
    </xdr:from>
    <xdr:to>
      <xdr:col>10</xdr:col>
      <xdr:colOff>171450</xdr:colOff>
      <xdr:row>24</xdr:row>
      <xdr:rowOff>19050</xdr:rowOff>
    </xdr:to>
    <xdr:sp macro="" textlink="">
      <xdr:nvSpPr>
        <xdr:cNvPr id="98" name="Freeform 14">
          <a:extLst>
            <a:ext uri="{FF2B5EF4-FFF2-40B4-BE49-F238E27FC236}">
              <a16:creationId xmlns:a16="http://schemas.microsoft.com/office/drawing/2014/main" id="{AE31BFDF-880E-44F3-BF1F-2F8E290C1769}"/>
            </a:ext>
          </a:extLst>
        </xdr:cNvPr>
        <xdr:cNvSpPr>
          <a:spLocks/>
        </xdr:cNvSpPr>
      </xdr:nvSpPr>
      <xdr:spPr bwMode="auto">
        <a:xfrm>
          <a:off x="5257800" y="3990975"/>
          <a:ext cx="1333500" cy="238125"/>
        </a:xfrm>
        <a:custGeom>
          <a:avLst/>
          <a:gdLst>
            <a:gd name="T0" fmla="*/ 0 w 142"/>
            <a:gd name="T1" fmla="*/ 2147483646 h 25"/>
            <a:gd name="T2" fmla="*/ 2147483646 w 142"/>
            <a:gd name="T3" fmla="*/ 2147483646 h 25"/>
            <a:gd name="T4" fmla="*/ 2147483646 w 142"/>
            <a:gd name="T5" fmla="*/ 2147483646 h 25"/>
            <a:gd name="T6" fmla="*/ 2147483646 w 142"/>
            <a:gd name="T7" fmla="*/ 2147483646 h 25"/>
            <a:gd name="T8" fmla="*/ 2147483646 w 142"/>
            <a:gd name="T9" fmla="*/ 2147483646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180975</xdr:colOff>
      <xdr:row>14</xdr:row>
      <xdr:rowOff>85725</xdr:rowOff>
    </xdr:from>
    <xdr:to>
      <xdr:col>7</xdr:col>
      <xdr:colOff>114300</xdr:colOff>
      <xdr:row>14</xdr:row>
      <xdr:rowOff>85725</xdr:rowOff>
    </xdr:to>
    <xdr:sp macro="" textlink="">
      <xdr:nvSpPr>
        <xdr:cNvPr id="99" name="Line 15">
          <a:extLst>
            <a:ext uri="{FF2B5EF4-FFF2-40B4-BE49-F238E27FC236}">
              <a16:creationId xmlns:a16="http://schemas.microsoft.com/office/drawing/2014/main" id="{8413EB16-D63C-45B3-A397-88A8238869A8}"/>
            </a:ext>
          </a:extLst>
        </xdr:cNvPr>
        <xdr:cNvSpPr>
          <a:spLocks noChangeShapeType="1"/>
        </xdr:cNvSpPr>
      </xdr:nvSpPr>
      <xdr:spPr bwMode="auto">
        <a:xfrm>
          <a:off x="3895725" y="25812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104775</xdr:rowOff>
    </xdr:from>
    <xdr:to>
      <xdr:col>7</xdr:col>
      <xdr:colOff>123825</xdr:colOff>
      <xdr:row>16</xdr:row>
      <xdr:rowOff>104775</xdr:rowOff>
    </xdr:to>
    <xdr:sp macro="" textlink="">
      <xdr:nvSpPr>
        <xdr:cNvPr id="100" name="Line 16">
          <a:extLst>
            <a:ext uri="{FF2B5EF4-FFF2-40B4-BE49-F238E27FC236}">
              <a16:creationId xmlns:a16="http://schemas.microsoft.com/office/drawing/2014/main" id="{88689138-96DC-46EB-A2FA-BDE020E213AE}"/>
            </a:ext>
          </a:extLst>
        </xdr:cNvPr>
        <xdr:cNvSpPr>
          <a:spLocks noChangeShapeType="1"/>
        </xdr:cNvSpPr>
      </xdr:nvSpPr>
      <xdr:spPr bwMode="auto">
        <a:xfrm>
          <a:off x="3905250" y="29432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15</xdr:row>
      <xdr:rowOff>104775</xdr:rowOff>
    </xdr:from>
    <xdr:to>
      <xdr:col>7</xdr:col>
      <xdr:colOff>104775</xdr:colOff>
      <xdr:row>15</xdr:row>
      <xdr:rowOff>104775</xdr:rowOff>
    </xdr:to>
    <xdr:sp macro="" textlink="">
      <xdr:nvSpPr>
        <xdr:cNvPr id="101" name="Line 17">
          <a:extLst>
            <a:ext uri="{FF2B5EF4-FFF2-40B4-BE49-F238E27FC236}">
              <a16:creationId xmlns:a16="http://schemas.microsoft.com/office/drawing/2014/main" id="{FE4AA6E6-57BE-445E-BD38-A64B70C8A5F2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17</xdr:row>
      <xdr:rowOff>104775</xdr:rowOff>
    </xdr:from>
    <xdr:to>
      <xdr:col>7</xdr:col>
      <xdr:colOff>114300</xdr:colOff>
      <xdr:row>17</xdr:row>
      <xdr:rowOff>104775</xdr:rowOff>
    </xdr:to>
    <xdr:sp macro="" textlink="">
      <xdr:nvSpPr>
        <xdr:cNvPr id="102" name="Line 18">
          <a:extLst>
            <a:ext uri="{FF2B5EF4-FFF2-40B4-BE49-F238E27FC236}">
              <a16:creationId xmlns:a16="http://schemas.microsoft.com/office/drawing/2014/main" id="{6A49FA24-4BC0-49F7-9E7B-843DB25F7896}"/>
            </a:ext>
          </a:extLst>
        </xdr:cNvPr>
        <xdr:cNvSpPr>
          <a:spLocks noChangeShapeType="1"/>
        </xdr:cNvSpPr>
      </xdr:nvSpPr>
      <xdr:spPr bwMode="auto">
        <a:xfrm>
          <a:off x="389572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8</xdr:row>
      <xdr:rowOff>104775</xdr:rowOff>
    </xdr:from>
    <xdr:to>
      <xdr:col>7</xdr:col>
      <xdr:colOff>647700</xdr:colOff>
      <xdr:row>8</xdr:row>
      <xdr:rowOff>104775</xdr:rowOff>
    </xdr:to>
    <xdr:sp macro="" textlink="">
      <xdr:nvSpPr>
        <xdr:cNvPr id="103" name="Line 19">
          <a:extLst>
            <a:ext uri="{FF2B5EF4-FFF2-40B4-BE49-F238E27FC236}">
              <a16:creationId xmlns:a16="http://schemas.microsoft.com/office/drawing/2014/main" id="{D75C4721-F869-4CFF-A17C-F54DD2D89C58}"/>
            </a:ext>
          </a:extLst>
        </xdr:cNvPr>
        <xdr:cNvSpPr>
          <a:spLocks noChangeShapeType="1"/>
        </xdr:cNvSpPr>
      </xdr:nvSpPr>
      <xdr:spPr bwMode="auto">
        <a:xfrm flipH="1">
          <a:off x="4419600" y="1571625"/>
          <a:ext cx="619125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8</xdr:row>
      <xdr:rowOff>85725</xdr:rowOff>
    </xdr:from>
    <xdr:to>
      <xdr:col>10</xdr:col>
      <xdr:colOff>9525</xdr:colOff>
      <xdr:row>8</xdr:row>
      <xdr:rowOff>85725</xdr:rowOff>
    </xdr:to>
    <xdr:sp macro="" textlink="">
      <xdr:nvSpPr>
        <xdr:cNvPr id="104" name="Line 20">
          <a:extLst>
            <a:ext uri="{FF2B5EF4-FFF2-40B4-BE49-F238E27FC236}">
              <a16:creationId xmlns:a16="http://schemas.microsoft.com/office/drawing/2014/main" id="{F346D0B1-3527-412A-8E11-8E0BCC2AAB3D}"/>
            </a:ext>
          </a:extLst>
        </xdr:cNvPr>
        <xdr:cNvSpPr>
          <a:spLocks noChangeShapeType="1"/>
        </xdr:cNvSpPr>
      </xdr:nvSpPr>
      <xdr:spPr bwMode="auto">
        <a:xfrm flipH="1">
          <a:off x="5819775" y="15525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314325</xdr:colOff>
      <xdr:row>8</xdr:row>
      <xdr:rowOff>104775</xdr:rowOff>
    </xdr:from>
    <xdr:to>
      <xdr:col>12</xdr:col>
      <xdr:colOff>247650</xdr:colOff>
      <xdr:row>8</xdr:row>
      <xdr:rowOff>104775</xdr:rowOff>
    </xdr:to>
    <xdr:sp macro="" textlink="">
      <xdr:nvSpPr>
        <xdr:cNvPr id="105" name="Line 21">
          <a:extLst>
            <a:ext uri="{FF2B5EF4-FFF2-40B4-BE49-F238E27FC236}">
              <a16:creationId xmlns:a16="http://schemas.microsoft.com/office/drawing/2014/main" id="{72AFDD74-DC27-4A75-8AA4-C1D3CE3CF741}"/>
            </a:ext>
          </a:extLst>
        </xdr:cNvPr>
        <xdr:cNvSpPr>
          <a:spLocks noChangeShapeType="1"/>
        </xdr:cNvSpPr>
      </xdr:nvSpPr>
      <xdr:spPr bwMode="auto">
        <a:xfrm flipH="1">
          <a:off x="7410450" y="15716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14</xdr:row>
      <xdr:rowOff>95250</xdr:rowOff>
    </xdr:from>
    <xdr:to>
      <xdr:col>10</xdr:col>
      <xdr:colOff>0</xdr:colOff>
      <xdr:row>14</xdr:row>
      <xdr:rowOff>95250</xdr:rowOff>
    </xdr:to>
    <xdr:sp macro="" textlink="">
      <xdr:nvSpPr>
        <xdr:cNvPr id="106" name="Line 22">
          <a:extLst>
            <a:ext uri="{FF2B5EF4-FFF2-40B4-BE49-F238E27FC236}">
              <a16:creationId xmlns:a16="http://schemas.microsoft.com/office/drawing/2014/main" id="{43B68B34-855D-4836-9E0B-94225CD44D6B}"/>
            </a:ext>
          </a:extLst>
        </xdr:cNvPr>
        <xdr:cNvSpPr>
          <a:spLocks noChangeShapeType="1"/>
        </xdr:cNvSpPr>
      </xdr:nvSpPr>
      <xdr:spPr bwMode="auto">
        <a:xfrm>
          <a:off x="5810250" y="25908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16</xdr:row>
      <xdr:rowOff>114300</xdr:rowOff>
    </xdr:from>
    <xdr:to>
      <xdr:col>10</xdr:col>
      <xdr:colOff>9525</xdr:colOff>
      <xdr:row>16</xdr:row>
      <xdr:rowOff>114300</xdr:rowOff>
    </xdr:to>
    <xdr:sp macro="" textlink="">
      <xdr:nvSpPr>
        <xdr:cNvPr id="107" name="Line 23">
          <a:extLst>
            <a:ext uri="{FF2B5EF4-FFF2-40B4-BE49-F238E27FC236}">
              <a16:creationId xmlns:a16="http://schemas.microsoft.com/office/drawing/2014/main" id="{ABE0D15A-FFF7-4F11-9AF6-672847E7E789}"/>
            </a:ext>
          </a:extLst>
        </xdr:cNvPr>
        <xdr:cNvSpPr>
          <a:spLocks noChangeShapeType="1"/>
        </xdr:cNvSpPr>
      </xdr:nvSpPr>
      <xdr:spPr bwMode="auto">
        <a:xfrm>
          <a:off x="5819775" y="295275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15</xdr:row>
      <xdr:rowOff>114300</xdr:rowOff>
    </xdr:from>
    <xdr:to>
      <xdr:col>10</xdr:col>
      <xdr:colOff>0</xdr:colOff>
      <xdr:row>15</xdr:row>
      <xdr:rowOff>114300</xdr:rowOff>
    </xdr:to>
    <xdr:sp macro="" textlink="">
      <xdr:nvSpPr>
        <xdr:cNvPr id="108" name="Line 24">
          <a:extLst>
            <a:ext uri="{FF2B5EF4-FFF2-40B4-BE49-F238E27FC236}">
              <a16:creationId xmlns:a16="http://schemas.microsoft.com/office/drawing/2014/main" id="{C8F817E9-8651-4052-A2B0-5E69A4411E82}"/>
            </a:ext>
          </a:extLst>
        </xdr:cNvPr>
        <xdr:cNvSpPr>
          <a:spLocks noChangeShapeType="1"/>
        </xdr:cNvSpPr>
      </xdr:nvSpPr>
      <xdr:spPr bwMode="auto">
        <a:xfrm>
          <a:off x="5810250" y="27813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17</xdr:row>
      <xdr:rowOff>104775</xdr:rowOff>
    </xdr:from>
    <xdr:to>
      <xdr:col>10</xdr:col>
      <xdr:colOff>9525</xdr:colOff>
      <xdr:row>17</xdr:row>
      <xdr:rowOff>104775</xdr:rowOff>
    </xdr:to>
    <xdr:sp macro="" textlink="">
      <xdr:nvSpPr>
        <xdr:cNvPr id="109" name="Line 25">
          <a:extLst>
            <a:ext uri="{FF2B5EF4-FFF2-40B4-BE49-F238E27FC236}">
              <a16:creationId xmlns:a16="http://schemas.microsoft.com/office/drawing/2014/main" id="{DAE02D4D-9FCD-461B-87CC-A1409480998B}"/>
            </a:ext>
          </a:extLst>
        </xdr:cNvPr>
        <xdr:cNvSpPr>
          <a:spLocks noChangeShapeType="1"/>
        </xdr:cNvSpPr>
      </xdr:nvSpPr>
      <xdr:spPr bwMode="auto">
        <a:xfrm>
          <a:off x="581977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17</xdr:row>
      <xdr:rowOff>38100</xdr:rowOff>
    </xdr:from>
    <xdr:to>
      <xdr:col>7</xdr:col>
      <xdr:colOff>657225</xdr:colOff>
      <xdr:row>19</xdr:row>
      <xdr:rowOff>152400</xdr:rowOff>
    </xdr:to>
    <xdr:sp macro="" textlink="">
      <xdr:nvSpPr>
        <xdr:cNvPr id="110" name="AutoShape 26">
          <a:extLst>
            <a:ext uri="{FF2B5EF4-FFF2-40B4-BE49-F238E27FC236}">
              <a16:creationId xmlns:a16="http://schemas.microsoft.com/office/drawing/2014/main" id="{F0EBBE95-85BD-4A29-B82E-CE958B63D618}"/>
            </a:ext>
          </a:extLst>
        </xdr:cNvPr>
        <xdr:cNvSpPr>
          <a:spLocks noChangeArrowheads="1"/>
        </xdr:cNvSpPr>
      </xdr:nvSpPr>
      <xdr:spPr bwMode="auto">
        <a:xfrm>
          <a:off x="4524375" y="3048000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238125</xdr:colOff>
      <xdr:row>17</xdr:row>
      <xdr:rowOff>28575</xdr:rowOff>
    </xdr:from>
    <xdr:to>
      <xdr:col>12</xdr:col>
      <xdr:colOff>76200</xdr:colOff>
      <xdr:row>19</xdr:row>
      <xdr:rowOff>142875</xdr:rowOff>
    </xdr:to>
    <xdr:sp macro="" textlink="">
      <xdr:nvSpPr>
        <xdr:cNvPr id="111" name="AutoShape 27">
          <a:extLst>
            <a:ext uri="{FF2B5EF4-FFF2-40B4-BE49-F238E27FC236}">
              <a16:creationId xmlns:a16="http://schemas.microsoft.com/office/drawing/2014/main" id="{58409B8F-E31E-40DE-8C90-C7B9EB2BFDD9}"/>
            </a:ext>
          </a:extLst>
        </xdr:cNvPr>
        <xdr:cNvSpPr>
          <a:spLocks noChangeArrowheads="1"/>
        </xdr:cNvSpPr>
      </xdr:nvSpPr>
      <xdr:spPr bwMode="auto">
        <a:xfrm>
          <a:off x="7334250" y="3038475"/>
          <a:ext cx="51435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104775</xdr:colOff>
      <xdr:row>17</xdr:row>
      <xdr:rowOff>38100</xdr:rowOff>
    </xdr:from>
    <xdr:to>
      <xdr:col>10</xdr:col>
      <xdr:colOff>561975</xdr:colOff>
      <xdr:row>20</xdr:row>
      <xdr:rowOff>47625</xdr:rowOff>
    </xdr:to>
    <xdr:sp macro="" textlink="">
      <xdr:nvSpPr>
        <xdr:cNvPr id="112" name="AutoShape 28">
          <a:extLst>
            <a:ext uri="{FF2B5EF4-FFF2-40B4-BE49-F238E27FC236}">
              <a16:creationId xmlns:a16="http://schemas.microsoft.com/office/drawing/2014/main" id="{4BEEE61B-B6FA-49F2-87AD-B2546BEEE1EC}"/>
            </a:ext>
          </a:extLst>
        </xdr:cNvPr>
        <xdr:cNvSpPr>
          <a:spLocks noChangeArrowheads="1"/>
        </xdr:cNvSpPr>
      </xdr:nvSpPr>
      <xdr:spPr bwMode="auto">
        <a:xfrm rot="5400000">
          <a:off x="64912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17</xdr:row>
      <xdr:rowOff>38100</xdr:rowOff>
    </xdr:from>
    <xdr:to>
      <xdr:col>6</xdr:col>
      <xdr:colOff>561975</xdr:colOff>
      <xdr:row>20</xdr:row>
      <xdr:rowOff>47625</xdr:rowOff>
    </xdr:to>
    <xdr:sp macro="" textlink="">
      <xdr:nvSpPr>
        <xdr:cNvPr id="113" name="AutoShape 29">
          <a:extLst>
            <a:ext uri="{FF2B5EF4-FFF2-40B4-BE49-F238E27FC236}">
              <a16:creationId xmlns:a16="http://schemas.microsoft.com/office/drawing/2014/main" id="{2DBD587E-E74C-4A99-B16E-A60CD8E07356}"/>
            </a:ext>
          </a:extLst>
        </xdr:cNvPr>
        <xdr:cNvSpPr>
          <a:spLocks noChangeArrowheads="1"/>
        </xdr:cNvSpPr>
      </xdr:nvSpPr>
      <xdr:spPr bwMode="auto">
        <a:xfrm rot="5400000">
          <a:off x="37861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6</xdr:row>
      <xdr:rowOff>114300</xdr:rowOff>
    </xdr:from>
    <xdr:to>
      <xdr:col>0</xdr:col>
      <xdr:colOff>523875</xdr:colOff>
      <xdr:row>19</xdr:row>
      <xdr:rowOff>85725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E9BDAC4F-0A98-40C7-9E7C-F076FECD9573}"/>
            </a:ext>
          </a:extLst>
        </xdr:cNvPr>
        <xdr:cNvSpPr txBox="1">
          <a:spLocks noChangeArrowheads="1"/>
        </xdr:cNvSpPr>
      </xdr:nvSpPr>
      <xdr:spPr bwMode="auto">
        <a:xfrm>
          <a:off x="133350" y="1238250"/>
          <a:ext cx="390525" cy="220027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１１００ｍ折り返し地点から上流は航行禁止</a:t>
          </a:r>
        </a:p>
      </xdr:txBody>
    </xdr:sp>
    <xdr:clientData/>
  </xdr:twoCellAnchor>
  <xdr:twoCellAnchor>
    <xdr:from>
      <xdr:col>13</xdr:col>
      <xdr:colOff>400050</xdr:colOff>
      <xdr:row>9</xdr:row>
      <xdr:rowOff>123825</xdr:rowOff>
    </xdr:from>
    <xdr:to>
      <xdr:col>14</xdr:col>
      <xdr:colOff>219075</xdr:colOff>
      <xdr:row>16</xdr:row>
      <xdr:rowOff>85725</xdr:rowOff>
    </xdr:to>
    <xdr:sp macro="" textlink="">
      <xdr:nvSpPr>
        <xdr:cNvPr id="115" name="AutoShape 32">
          <a:extLst>
            <a:ext uri="{FF2B5EF4-FFF2-40B4-BE49-F238E27FC236}">
              <a16:creationId xmlns:a16="http://schemas.microsoft.com/office/drawing/2014/main" id="{FD18ACAC-0065-4141-AAB1-A6B4C152FA63}"/>
            </a:ext>
          </a:extLst>
        </xdr:cNvPr>
        <xdr:cNvSpPr>
          <a:spLocks noChangeArrowheads="1"/>
        </xdr:cNvSpPr>
      </xdr:nvSpPr>
      <xdr:spPr bwMode="auto">
        <a:xfrm rot="-5527266">
          <a:off x="8515350" y="2095500"/>
          <a:ext cx="1162050" cy="495300"/>
        </a:xfrm>
        <a:prstGeom prst="curvedUpArrow">
          <a:avLst>
            <a:gd name="adj1" fmla="val 46038"/>
            <a:gd name="adj2" fmla="val 92075"/>
            <a:gd name="adj3" fmla="val 41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9</xdr:row>
      <xdr:rowOff>47625</xdr:rowOff>
    </xdr:from>
    <xdr:to>
      <xdr:col>5</xdr:col>
      <xdr:colOff>247650</xdr:colOff>
      <xdr:row>16</xdr:row>
      <xdr:rowOff>57150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6DC07695-BF7F-40DF-B0DD-0B1C244193D0}"/>
            </a:ext>
          </a:extLst>
        </xdr:cNvPr>
        <xdr:cNvSpPr>
          <a:spLocks noChangeArrowheads="1"/>
        </xdr:cNvSpPr>
      </xdr:nvSpPr>
      <xdr:spPr bwMode="auto">
        <a:xfrm rot="5400000">
          <a:off x="2466975" y="2171700"/>
          <a:ext cx="1209675" cy="238125"/>
        </a:xfrm>
        <a:prstGeom prst="curvedUpArrow">
          <a:avLst>
            <a:gd name="adj1" fmla="val 69286"/>
            <a:gd name="adj2" fmla="val 203200"/>
            <a:gd name="adj3" fmla="val 742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22</xdr:row>
      <xdr:rowOff>161925</xdr:rowOff>
    </xdr:from>
    <xdr:to>
      <xdr:col>2</xdr:col>
      <xdr:colOff>666750</xdr:colOff>
      <xdr:row>23</xdr:row>
      <xdr:rowOff>0</xdr:rowOff>
    </xdr:to>
    <xdr:sp macro="" textlink="">
      <xdr:nvSpPr>
        <xdr:cNvPr id="117" name="Line 34">
          <a:extLst>
            <a:ext uri="{FF2B5EF4-FFF2-40B4-BE49-F238E27FC236}">
              <a16:creationId xmlns:a16="http://schemas.microsoft.com/office/drawing/2014/main" id="{842FC8A4-F99F-4FF9-8020-955E672DED57}"/>
            </a:ext>
          </a:extLst>
        </xdr:cNvPr>
        <xdr:cNvSpPr>
          <a:spLocks noChangeShapeType="1"/>
        </xdr:cNvSpPr>
      </xdr:nvSpPr>
      <xdr:spPr bwMode="auto">
        <a:xfrm flipV="1">
          <a:off x="723900" y="4029075"/>
          <a:ext cx="12954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21</xdr:row>
      <xdr:rowOff>104775</xdr:rowOff>
    </xdr:from>
    <xdr:to>
      <xdr:col>5</xdr:col>
      <xdr:colOff>428625</xdr:colOff>
      <xdr:row>23</xdr:row>
      <xdr:rowOff>161925</xdr:rowOff>
    </xdr:to>
    <xdr:sp macro="" textlink="">
      <xdr:nvSpPr>
        <xdr:cNvPr id="118" name="Freeform 35">
          <a:extLst>
            <a:ext uri="{FF2B5EF4-FFF2-40B4-BE49-F238E27FC236}">
              <a16:creationId xmlns:a16="http://schemas.microsoft.com/office/drawing/2014/main" id="{BD3590B9-0A39-4F60-8C4B-56187DF2CE90}"/>
            </a:ext>
          </a:extLst>
        </xdr:cNvPr>
        <xdr:cNvSpPr>
          <a:spLocks/>
        </xdr:cNvSpPr>
      </xdr:nvSpPr>
      <xdr:spPr bwMode="auto">
        <a:xfrm>
          <a:off x="2028825" y="3800475"/>
          <a:ext cx="1343025" cy="400050"/>
        </a:xfrm>
        <a:custGeom>
          <a:avLst/>
          <a:gdLst>
            <a:gd name="T0" fmla="*/ 0 w 118"/>
            <a:gd name="T1" fmla="*/ 2147483646 h 42"/>
            <a:gd name="T2" fmla="*/ 2147483646 w 118"/>
            <a:gd name="T3" fmla="*/ 2147483646 h 42"/>
            <a:gd name="T4" fmla="*/ 2147483646 w 118"/>
            <a:gd name="T5" fmla="*/ 2147483646 h 42"/>
            <a:gd name="T6" fmla="*/ 2147483646 w 118"/>
            <a:gd name="T7" fmla="*/ 2147483646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57150</xdr:rowOff>
    </xdr:from>
    <xdr:to>
      <xdr:col>10</xdr:col>
      <xdr:colOff>552450</xdr:colOff>
      <xdr:row>7</xdr:row>
      <xdr:rowOff>123825</xdr:rowOff>
    </xdr:to>
    <xdr:sp macro="" textlink="">
      <xdr:nvSpPr>
        <xdr:cNvPr id="119" name="Line 36">
          <a:extLst>
            <a:ext uri="{FF2B5EF4-FFF2-40B4-BE49-F238E27FC236}">
              <a16:creationId xmlns:a16="http://schemas.microsoft.com/office/drawing/2014/main" id="{1092112C-5846-437E-B8E7-8717515B807B}"/>
            </a:ext>
          </a:extLst>
        </xdr:cNvPr>
        <xdr:cNvSpPr>
          <a:spLocks noChangeShapeType="1"/>
        </xdr:cNvSpPr>
      </xdr:nvSpPr>
      <xdr:spPr bwMode="auto">
        <a:xfrm flipV="1">
          <a:off x="695325" y="1009650"/>
          <a:ext cx="62769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1</xdr:row>
      <xdr:rowOff>28575</xdr:rowOff>
    </xdr:from>
    <xdr:to>
      <xdr:col>11</xdr:col>
      <xdr:colOff>228600</xdr:colOff>
      <xdr:row>5</xdr:row>
      <xdr:rowOff>57150</xdr:rowOff>
    </xdr:to>
    <xdr:sp macro="" textlink="">
      <xdr:nvSpPr>
        <xdr:cNvPr id="120" name="Freeform 37">
          <a:extLst>
            <a:ext uri="{FF2B5EF4-FFF2-40B4-BE49-F238E27FC236}">
              <a16:creationId xmlns:a16="http://schemas.microsoft.com/office/drawing/2014/main" id="{663EF861-1E69-4A85-8A3A-389CF46C8D94}"/>
            </a:ext>
          </a:extLst>
        </xdr:cNvPr>
        <xdr:cNvSpPr>
          <a:spLocks/>
        </xdr:cNvSpPr>
      </xdr:nvSpPr>
      <xdr:spPr bwMode="auto">
        <a:xfrm>
          <a:off x="6953250" y="295275"/>
          <a:ext cx="371475" cy="714375"/>
        </a:xfrm>
        <a:custGeom>
          <a:avLst/>
          <a:gdLst>
            <a:gd name="T0" fmla="*/ 0 w 40"/>
            <a:gd name="T1" fmla="*/ 2147483646 h 59"/>
            <a:gd name="T2" fmla="*/ 2147483646 w 40"/>
            <a:gd name="T3" fmla="*/ 2147483646 h 59"/>
            <a:gd name="T4" fmla="*/ 2147483646 w 40"/>
            <a:gd name="T5" fmla="*/ 2147483646 h 59"/>
            <a:gd name="T6" fmla="*/ 2147483646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2</xdr:row>
      <xdr:rowOff>133350</xdr:rowOff>
    </xdr:from>
    <xdr:to>
      <xdr:col>13</xdr:col>
      <xdr:colOff>114300</xdr:colOff>
      <xdr:row>5</xdr:row>
      <xdr:rowOff>9525</xdr:rowOff>
    </xdr:to>
    <xdr:sp macro="" textlink="">
      <xdr:nvSpPr>
        <xdr:cNvPr id="121" name="Text Box 38">
          <a:extLst>
            <a:ext uri="{FF2B5EF4-FFF2-40B4-BE49-F238E27FC236}">
              <a16:creationId xmlns:a16="http://schemas.microsoft.com/office/drawing/2014/main" id="{D72FF574-CFDB-4525-9651-17A66936691D}"/>
            </a:ext>
          </a:extLst>
        </xdr:cNvPr>
        <xdr:cNvSpPr txBox="1">
          <a:spLocks noChangeArrowheads="1"/>
        </xdr:cNvSpPr>
      </xdr:nvSpPr>
      <xdr:spPr bwMode="auto">
        <a:xfrm>
          <a:off x="7429500" y="571500"/>
          <a:ext cx="1133475" cy="39052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練習水域は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使用禁止</a:t>
          </a:r>
        </a:p>
      </xdr:txBody>
    </xdr:sp>
    <xdr:clientData/>
  </xdr:twoCellAnchor>
  <xdr:twoCellAnchor>
    <xdr:from>
      <xdr:col>13</xdr:col>
      <xdr:colOff>609600</xdr:colOff>
      <xdr:row>17</xdr:row>
      <xdr:rowOff>57150</xdr:rowOff>
    </xdr:from>
    <xdr:to>
      <xdr:col>15</xdr:col>
      <xdr:colOff>657225</xdr:colOff>
      <xdr:row>23</xdr:row>
      <xdr:rowOff>114300</xdr:rowOff>
    </xdr:to>
    <xdr:sp macro="" textlink="">
      <xdr:nvSpPr>
        <xdr:cNvPr id="122" name="AutoShape 39">
          <a:extLst>
            <a:ext uri="{FF2B5EF4-FFF2-40B4-BE49-F238E27FC236}">
              <a16:creationId xmlns:a16="http://schemas.microsoft.com/office/drawing/2014/main" id="{6C300AAD-ED86-4849-894E-CAE7F45BBC73}"/>
            </a:ext>
          </a:extLst>
        </xdr:cNvPr>
        <xdr:cNvSpPr>
          <a:spLocks noChangeArrowheads="1"/>
        </xdr:cNvSpPr>
      </xdr:nvSpPr>
      <xdr:spPr bwMode="auto">
        <a:xfrm>
          <a:off x="9058275" y="3067050"/>
          <a:ext cx="1400175" cy="1085850"/>
        </a:xfrm>
        <a:prstGeom prst="wedgeRoundRectCallout">
          <a:avLst>
            <a:gd name="adj1" fmla="val -22481"/>
            <a:gd name="adj2" fmla="val -978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ゴール後の水域が狭いので、すみやかに折り返すこと。その際は後続の艇の接近に注意する。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114300</xdr:colOff>
      <xdr:row>6</xdr:row>
      <xdr:rowOff>161925</xdr:rowOff>
    </xdr:from>
    <xdr:to>
      <xdr:col>14</xdr:col>
      <xdr:colOff>438150</xdr:colOff>
      <xdr:row>9</xdr:row>
      <xdr:rowOff>85725</xdr:rowOff>
    </xdr:to>
    <xdr:sp macro="" textlink="">
      <xdr:nvSpPr>
        <xdr:cNvPr id="123" name="AutoShape 40">
          <a:extLst>
            <a:ext uri="{FF2B5EF4-FFF2-40B4-BE49-F238E27FC236}">
              <a16:creationId xmlns:a16="http://schemas.microsoft.com/office/drawing/2014/main" id="{05680054-121B-4DD2-A10E-5CBE0C24B33F}"/>
            </a:ext>
          </a:extLst>
        </xdr:cNvPr>
        <xdr:cNvSpPr>
          <a:spLocks noChangeArrowheads="1"/>
        </xdr:cNvSpPr>
      </xdr:nvSpPr>
      <xdr:spPr bwMode="auto">
        <a:xfrm>
          <a:off x="8562975" y="1285875"/>
          <a:ext cx="1000125" cy="438150"/>
        </a:xfrm>
        <a:prstGeom prst="wedgeRectCallout">
          <a:avLst>
            <a:gd name="adj1" fmla="val -59435"/>
            <a:gd name="adj2" fmla="val 804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ゴールライン対岸よりのワイヤーに注意</a:t>
          </a:r>
        </a:p>
      </xdr:txBody>
    </xdr:sp>
    <xdr:clientData/>
  </xdr:twoCellAnchor>
  <xdr:twoCellAnchor>
    <xdr:from>
      <xdr:col>0</xdr:col>
      <xdr:colOff>57150</xdr:colOff>
      <xdr:row>0</xdr:row>
      <xdr:rowOff>104775</xdr:rowOff>
    </xdr:from>
    <xdr:to>
      <xdr:col>6</xdr:col>
      <xdr:colOff>542925</xdr:colOff>
      <xdr:row>3</xdr:row>
      <xdr:rowOff>57150</xdr:rowOff>
    </xdr:to>
    <xdr:sp macro="" textlink="">
      <xdr:nvSpPr>
        <xdr:cNvPr id="124" name="Text Box 41">
          <a:extLst>
            <a:ext uri="{FF2B5EF4-FFF2-40B4-BE49-F238E27FC236}">
              <a16:creationId xmlns:a16="http://schemas.microsoft.com/office/drawing/2014/main" id="{B7A05D86-9AB5-43E2-8AA3-D0FE9ADE69CF}"/>
            </a:ext>
          </a:extLst>
        </xdr:cNvPr>
        <xdr:cNvSpPr txBox="1">
          <a:spLocks noChangeArrowheads="1"/>
        </xdr:cNvSpPr>
      </xdr:nvSpPr>
      <xdr:spPr bwMode="auto">
        <a:xfrm>
          <a:off x="57150" y="104775"/>
          <a:ext cx="4200525" cy="561975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高校新人体育大会１次予選・航行ルール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試合日の試合開始１時間前まで。試合終了３０分後より。</a:t>
          </a:r>
        </a:p>
      </xdr:txBody>
    </xdr:sp>
    <xdr:clientData/>
  </xdr:twoCellAnchor>
  <xdr:twoCellAnchor>
    <xdr:from>
      <xdr:col>3</xdr:col>
      <xdr:colOff>571500</xdr:colOff>
      <xdr:row>11</xdr:row>
      <xdr:rowOff>38100</xdr:rowOff>
    </xdr:from>
    <xdr:to>
      <xdr:col>4</xdr:col>
      <xdr:colOff>123825</xdr:colOff>
      <xdr:row>17</xdr:row>
      <xdr:rowOff>142875</xdr:rowOff>
    </xdr:to>
    <xdr:sp macro="" textlink="">
      <xdr:nvSpPr>
        <xdr:cNvPr id="125" name="Text Box 42">
          <a:extLst>
            <a:ext uri="{FF2B5EF4-FFF2-40B4-BE49-F238E27FC236}">
              <a16:creationId xmlns:a16="http://schemas.microsoft.com/office/drawing/2014/main" id="{E2E3E09E-5BB8-4D23-AF8F-660C22AF8FC0}"/>
            </a:ext>
          </a:extLst>
        </xdr:cNvPr>
        <xdr:cNvSpPr txBox="1">
          <a:spLocks noChangeArrowheads="1"/>
        </xdr:cNvSpPr>
      </xdr:nvSpPr>
      <xdr:spPr bwMode="auto">
        <a:xfrm>
          <a:off x="2600325" y="2019300"/>
          <a:ext cx="22860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</xdr:txBody>
    </xdr:sp>
    <xdr:clientData/>
  </xdr:twoCellAnchor>
  <xdr:twoCellAnchor>
    <xdr:from>
      <xdr:col>7</xdr:col>
      <xdr:colOff>390525</xdr:colOff>
      <xdr:row>1</xdr:row>
      <xdr:rowOff>85725</xdr:rowOff>
    </xdr:from>
    <xdr:to>
      <xdr:col>8</xdr:col>
      <xdr:colOff>523875</xdr:colOff>
      <xdr:row>1</xdr:row>
      <xdr:rowOff>85725</xdr:rowOff>
    </xdr:to>
    <xdr:sp macro="" textlink="">
      <xdr:nvSpPr>
        <xdr:cNvPr id="126" name="Line 43">
          <a:extLst>
            <a:ext uri="{FF2B5EF4-FFF2-40B4-BE49-F238E27FC236}">
              <a16:creationId xmlns:a16="http://schemas.microsoft.com/office/drawing/2014/main" id="{8807CAA0-A111-4C8E-A3D5-2F06EBD87169}"/>
            </a:ext>
          </a:extLst>
        </xdr:cNvPr>
        <xdr:cNvSpPr>
          <a:spLocks noChangeShapeType="1"/>
        </xdr:cNvSpPr>
      </xdr:nvSpPr>
      <xdr:spPr bwMode="auto">
        <a:xfrm flipH="1">
          <a:off x="4781550" y="3524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0</xdr:row>
      <xdr:rowOff>180975</xdr:rowOff>
    </xdr:from>
    <xdr:to>
      <xdr:col>8</xdr:col>
      <xdr:colOff>180975</xdr:colOff>
      <xdr:row>2</xdr:row>
      <xdr:rowOff>76200</xdr:rowOff>
    </xdr:to>
    <xdr:sp macro="" textlink="">
      <xdr:nvSpPr>
        <xdr:cNvPr id="127" name="Line 44">
          <a:extLst>
            <a:ext uri="{FF2B5EF4-FFF2-40B4-BE49-F238E27FC236}">
              <a16:creationId xmlns:a16="http://schemas.microsoft.com/office/drawing/2014/main" id="{7D95274A-4933-4AA0-9F7F-5168A57C3141}"/>
            </a:ext>
          </a:extLst>
        </xdr:cNvPr>
        <xdr:cNvSpPr>
          <a:spLocks noChangeShapeType="1"/>
        </xdr:cNvSpPr>
      </xdr:nvSpPr>
      <xdr:spPr bwMode="auto">
        <a:xfrm>
          <a:off x="5248275" y="18097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5</xdr:row>
      <xdr:rowOff>19050</xdr:rowOff>
    </xdr:from>
    <xdr:to>
      <xdr:col>15</xdr:col>
      <xdr:colOff>352425</xdr:colOff>
      <xdr:row>24</xdr:row>
      <xdr:rowOff>0</xdr:rowOff>
    </xdr:to>
    <xdr:sp macro="" textlink="">
      <xdr:nvSpPr>
        <xdr:cNvPr id="128" name="Freeform 1">
          <a:extLst>
            <a:ext uri="{FF2B5EF4-FFF2-40B4-BE49-F238E27FC236}">
              <a16:creationId xmlns:a16="http://schemas.microsoft.com/office/drawing/2014/main" id="{9774611C-7294-4043-8D11-3BA7566C7407}"/>
            </a:ext>
          </a:extLst>
        </xdr:cNvPr>
        <xdr:cNvSpPr>
          <a:spLocks/>
        </xdr:cNvSpPr>
      </xdr:nvSpPr>
      <xdr:spPr bwMode="auto">
        <a:xfrm>
          <a:off x="7791450" y="971550"/>
          <a:ext cx="2362200" cy="3238500"/>
        </a:xfrm>
        <a:custGeom>
          <a:avLst/>
          <a:gdLst>
            <a:gd name="T0" fmla="*/ 0 w 251"/>
            <a:gd name="T1" fmla="*/ 2147483646 h 343"/>
            <a:gd name="T2" fmla="*/ 2147483646 w 251"/>
            <a:gd name="T3" fmla="*/ 2147483646 h 343"/>
            <a:gd name="T4" fmla="*/ 2147483646 w 251"/>
            <a:gd name="T5" fmla="*/ 2147483646 h 343"/>
            <a:gd name="T6" fmla="*/ 2147483646 w 251"/>
            <a:gd name="T7" fmla="*/ 2147483646 h 343"/>
            <a:gd name="T8" fmla="*/ 2147483646 w 251"/>
            <a:gd name="T9" fmla="*/ 2147483646 h 343"/>
            <a:gd name="T10" fmla="*/ 2147483646 w 251"/>
            <a:gd name="T11" fmla="*/ 2147483646 h 343"/>
            <a:gd name="T12" fmla="*/ 2147483646 w 251"/>
            <a:gd name="T13" fmla="*/ 2147483646 h 343"/>
            <a:gd name="T14" fmla="*/ 2147483646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200025</xdr:colOff>
      <xdr:row>24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8416661E-CB56-46E7-8C7A-0499A8D58B3F}"/>
            </a:ext>
          </a:extLst>
        </xdr:cNvPr>
        <xdr:cNvSpPr>
          <a:spLocks noChangeShapeType="1"/>
        </xdr:cNvSpPr>
      </xdr:nvSpPr>
      <xdr:spPr bwMode="auto">
        <a:xfrm>
          <a:off x="6619875" y="421005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24</xdr:row>
      <xdr:rowOff>0</xdr:rowOff>
    </xdr:from>
    <xdr:to>
      <xdr:col>8</xdr:col>
      <xdr:colOff>219075</xdr:colOff>
      <xdr:row>24</xdr:row>
      <xdr:rowOff>0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9818473A-5170-410D-8439-D66CC3A8274B}"/>
            </a:ext>
          </a:extLst>
        </xdr:cNvPr>
        <xdr:cNvSpPr>
          <a:spLocks noChangeShapeType="1"/>
        </xdr:cNvSpPr>
      </xdr:nvSpPr>
      <xdr:spPr bwMode="auto">
        <a:xfrm>
          <a:off x="4171950" y="4210050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22</xdr:row>
      <xdr:rowOff>28575</xdr:rowOff>
    </xdr:from>
    <xdr:to>
      <xdr:col>6</xdr:col>
      <xdr:colOff>209550</xdr:colOff>
      <xdr:row>23</xdr:row>
      <xdr:rowOff>161925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id="{F4A5C7CC-D639-4150-9747-7EDCB6A31E31}"/>
            </a:ext>
          </a:extLst>
        </xdr:cNvPr>
        <xdr:cNvSpPr>
          <a:spLocks noChangeArrowheads="1"/>
        </xdr:cNvSpPr>
      </xdr:nvSpPr>
      <xdr:spPr bwMode="auto">
        <a:xfrm>
          <a:off x="3714750" y="3895725"/>
          <a:ext cx="2095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533400</xdr:colOff>
      <xdr:row>22</xdr:row>
      <xdr:rowOff>28575</xdr:rowOff>
    </xdr:from>
    <xdr:to>
      <xdr:col>7</xdr:col>
      <xdr:colOff>57150</xdr:colOff>
      <xdr:row>24</xdr:row>
      <xdr:rowOff>19050</xdr:rowOff>
    </xdr:to>
    <xdr:sp macro="" textlink="">
      <xdr:nvSpPr>
        <xdr:cNvPr id="132" name="Rectangle 5">
          <a:extLst>
            <a:ext uri="{FF2B5EF4-FFF2-40B4-BE49-F238E27FC236}">
              <a16:creationId xmlns:a16="http://schemas.microsoft.com/office/drawing/2014/main" id="{4DA90226-BA82-4BF6-994B-54370CA14F2B}"/>
            </a:ext>
          </a:extLst>
        </xdr:cNvPr>
        <xdr:cNvSpPr>
          <a:spLocks noChangeArrowheads="1"/>
        </xdr:cNvSpPr>
      </xdr:nvSpPr>
      <xdr:spPr bwMode="auto">
        <a:xfrm>
          <a:off x="4248150" y="3895725"/>
          <a:ext cx="2000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161925</xdr:colOff>
      <xdr:row>22</xdr:row>
      <xdr:rowOff>28575</xdr:rowOff>
    </xdr:from>
    <xdr:to>
      <xdr:col>7</xdr:col>
      <xdr:colOff>371475</xdr:colOff>
      <xdr:row>24</xdr:row>
      <xdr:rowOff>28575</xdr:rowOff>
    </xdr:to>
    <xdr:sp macro="" textlink="">
      <xdr:nvSpPr>
        <xdr:cNvPr id="133" name="Rectangle 6">
          <a:extLst>
            <a:ext uri="{FF2B5EF4-FFF2-40B4-BE49-F238E27FC236}">
              <a16:creationId xmlns:a16="http://schemas.microsoft.com/office/drawing/2014/main" id="{B207C0DB-4300-48F9-8D97-6A52B3ED11BB}"/>
            </a:ext>
          </a:extLst>
        </xdr:cNvPr>
        <xdr:cNvSpPr>
          <a:spLocks noChangeArrowheads="1"/>
        </xdr:cNvSpPr>
      </xdr:nvSpPr>
      <xdr:spPr bwMode="auto">
        <a:xfrm>
          <a:off x="4552950" y="3895725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22</xdr:row>
      <xdr:rowOff>19050</xdr:rowOff>
    </xdr:from>
    <xdr:to>
      <xdr:col>7</xdr:col>
      <xdr:colOff>647700</xdr:colOff>
      <xdr:row>24</xdr:row>
      <xdr:rowOff>19050</xdr:rowOff>
    </xdr:to>
    <xdr:sp macro="" textlink="">
      <xdr:nvSpPr>
        <xdr:cNvPr id="134" name="Rectangle 7">
          <a:extLst>
            <a:ext uri="{FF2B5EF4-FFF2-40B4-BE49-F238E27FC236}">
              <a16:creationId xmlns:a16="http://schemas.microsoft.com/office/drawing/2014/main" id="{F70214E8-6AD7-4A62-8115-EFB0E071680E}"/>
            </a:ext>
          </a:extLst>
        </xdr:cNvPr>
        <xdr:cNvSpPr>
          <a:spLocks noChangeArrowheads="1"/>
        </xdr:cNvSpPr>
      </xdr:nvSpPr>
      <xdr:spPr bwMode="auto">
        <a:xfrm>
          <a:off x="4829175" y="3886200"/>
          <a:ext cx="2095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22</xdr:row>
      <xdr:rowOff>0</xdr:rowOff>
    </xdr:from>
    <xdr:to>
      <xdr:col>10</xdr:col>
      <xdr:colOff>542925</xdr:colOff>
      <xdr:row>24</xdr:row>
      <xdr:rowOff>19050</xdr:rowOff>
    </xdr:to>
    <xdr:sp macro="" textlink="">
      <xdr:nvSpPr>
        <xdr:cNvPr id="135" name="Rectangle 8">
          <a:extLst>
            <a:ext uri="{FF2B5EF4-FFF2-40B4-BE49-F238E27FC236}">
              <a16:creationId xmlns:a16="http://schemas.microsoft.com/office/drawing/2014/main" id="{B7AA923B-CFD4-4B09-9FF8-C9746AAC8300}"/>
            </a:ext>
          </a:extLst>
        </xdr:cNvPr>
        <xdr:cNvSpPr>
          <a:spLocks noChangeArrowheads="1"/>
        </xdr:cNvSpPr>
      </xdr:nvSpPr>
      <xdr:spPr bwMode="auto">
        <a:xfrm>
          <a:off x="6753225" y="3867150"/>
          <a:ext cx="2095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21</xdr:row>
      <xdr:rowOff>161925</xdr:rowOff>
    </xdr:from>
    <xdr:to>
      <xdr:col>11</xdr:col>
      <xdr:colOff>209550</xdr:colOff>
      <xdr:row>24</xdr:row>
      <xdr:rowOff>19050</xdr:rowOff>
    </xdr:to>
    <xdr:sp macro="" textlink="">
      <xdr:nvSpPr>
        <xdr:cNvPr id="136" name="Rectangle 9">
          <a:extLst>
            <a:ext uri="{FF2B5EF4-FFF2-40B4-BE49-F238E27FC236}">
              <a16:creationId xmlns:a16="http://schemas.microsoft.com/office/drawing/2014/main" id="{57429745-A2B3-4B4B-849A-D66101A2F5B5}"/>
            </a:ext>
          </a:extLst>
        </xdr:cNvPr>
        <xdr:cNvSpPr>
          <a:spLocks noChangeArrowheads="1"/>
        </xdr:cNvSpPr>
      </xdr:nvSpPr>
      <xdr:spPr bwMode="auto">
        <a:xfrm>
          <a:off x="7096125" y="3857625"/>
          <a:ext cx="2095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447675</xdr:colOff>
      <xdr:row>23</xdr:row>
      <xdr:rowOff>152400</xdr:rowOff>
    </xdr:from>
    <xdr:to>
      <xdr:col>5</xdr:col>
      <xdr:colOff>657225</xdr:colOff>
      <xdr:row>23</xdr:row>
      <xdr:rowOff>161925</xdr:rowOff>
    </xdr:to>
    <xdr:sp macro="" textlink="">
      <xdr:nvSpPr>
        <xdr:cNvPr id="137" name="Line 11">
          <a:extLst>
            <a:ext uri="{FF2B5EF4-FFF2-40B4-BE49-F238E27FC236}">
              <a16:creationId xmlns:a16="http://schemas.microsoft.com/office/drawing/2014/main" id="{81536268-A578-48E6-B02C-4807B20C7BFB}"/>
            </a:ext>
          </a:extLst>
        </xdr:cNvPr>
        <xdr:cNvSpPr>
          <a:spLocks noChangeShapeType="1"/>
        </xdr:cNvSpPr>
      </xdr:nvSpPr>
      <xdr:spPr bwMode="auto">
        <a:xfrm flipV="1">
          <a:off x="3390900" y="4191000"/>
          <a:ext cx="2095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23</xdr:row>
      <xdr:rowOff>133350</xdr:rowOff>
    </xdr:from>
    <xdr:to>
      <xdr:col>6</xdr:col>
      <xdr:colOff>352425</xdr:colOff>
      <xdr:row>27</xdr:row>
      <xdr:rowOff>123825</xdr:rowOff>
    </xdr:to>
    <xdr:sp macro="" textlink="">
      <xdr:nvSpPr>
        <xdr:cNvPr id="138" name="Freeform 12">
          <a:extLst>
            <a:ext uri="{FF2B5EF4-FFF2-40B4-BE49-F238E27FC236}">
              <a16:creationId xmlns:a16="http://schemas.microsoft.com/office/drawing/2014/main" id="{91073989-165E-428D-9502-EB1F1E807D56}"/>
            </a:ext>
          </a:extLst>
        </xdr:cNvPr>
        <xdr:cNvSpPr>
          <a:spLocks/>
        </xdr:cNvSpPr>
      </xdr:nvSpPr>
      <xdr:spPr bwMode="auto">
        <a:xfrm>
          <a:off x="3914775" y="4171950"/>
          <a:ext cx="152400" cy="676275"/>
        </a:xfrm>
        <a:custGeom>
          <a:avLst/>
          <a:gdLst>
            <a:gd name="T0" fmla="*/ 0 w 16"/>
            <a:gd name="T1" fmla="*/ 2147483646 h 108"/>
            <a:gd name="T2" fmla="*/ 2147483646 w 16"/>
            <a:gd name="T3" fmla="*/ 2147483646 h 108"/>
            <a:gd name="T4" fmla="*/ 2147483646 w 16"/>
            <a:gd name="T5" fmla="*/ 2147483646 h 108"/>
            <a:gd name="T6" fmla="*/ 2147483646 w 16"/>
            <a:gd name="T7" fmla="*/ 2147483646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390525</xdr:colOff>
      <xdr:row>24</xdr:row>
      <xdr:rowOff>28575</xdr:rowOff>
    </xdr:from>
    <xdr:to>
      <xdr:col>6</xdr:col>
      <xdr:colOff>466725</xdr:colOff>
      <xdr:row>28</xdr:row>
      <xdr:rowOff>0</xdr:rowOff>
    </xdr:to>
    <xdr:sp macro="" textlink="">
      <xdr:nvSpPr>
        <xdr:cNvPr id="139" name="Freeform 13">
          <a:extLst>
            <a:ext uri="{FF2B5EF4-FFF2-40B4-BE49-F238E27FC236}">
              <a16:creationId xmlns:a16="http://schemas.microsoft.com/office/drawing/2014/main" id="{7935F46F-06D4-45F9-A14C-7ABDC384BDF3}"/>
            </a:ext>
          </a:extLst>
        </xdr:cNvPr>
        <xdr:cNvSpPr>
          <a:spLocks/>
        </xdr:cNvSpPr>
      </xdr:nvSpPr>
      <xdr:spPr bwMode="auto">
        <a:xfrm>
          <a:off x="4105275" y="4238625"/>
          <a:ext cx="76200" cy="657225"/>
        </a:xfrm>
        <a:custGeom>
          <a:avLst/>
          <a:gdLst>
            <a:gd name="T0" fmla="*/ 2147483646 w 6"/>
            <a:gd name="T1" fmla="*/ 0 h 56"/>
            <a:gd name="T2" fmla="*/ 2147483646 w 6"/>
            <a:gd name="T3" fmla="*/ 2147483646 h 56"/>
            <a:gd name="T4" fmla="*/ 0 w 6"/>
            <a:gd name="T5" fmla="*/ 2147483646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22</xdr:row>
      <xdr:rowOff>123825</xdr:rowOff>
    </xdr:from>
    <xdr:to>
      <xdr:col>10</xdr:col>
      <xdr:colOff>171450</xdr:colOff>
      <xdr:row>24</xdr:row>
      <xdr:rowOff>19050</xdr:rowOff>
    </xdr:to>
    <xdr:sp macro="" textlink="">
      <xdr:nvSpPr>
        <xdr:cNvPr id="140" name="Freeform 14">
          <a:extLst>
            <a:ext uri="{FF2B5EF4-FFF2-40B4-BE49-F238E27FC236}">
              <a16:creationId xmlns:a16="http://schemas.microsoft.com/office/drawing/2014/main" id="{F646ABCC-46B8-4817-9C71-B80A4D49ED00}"/>
            </a:ext>
          </a:extLst>
        </xdr:cNvPr>
        <xdr:cNvSpPr>
          <a:spLocks/>
        </xdr:cNvSpPr>
      </xdr:nvSpPr>
      <xdr:spPr bwMode="auto">
        <a:xfrm>
          <a:off x="5257800" y="3990975"/>
          <a:ext cx="1333500" cy="238125"/>
        </a:xfrm>
        <a:custGeom>
          <a:avLst/>
          <a:gdLst>
            <a:gd name="T0" fmla="*/ 0 w 142"/>
            <a:gd name="T1" fmla="*/ 2147483646 h 25"/>
            <a:gd name="T2" fmla="*/ 2147483646 w 142"/>
            <a:gd name="T3" fmla="*/ 2147483646 h 25"/>
            <a:gd name="T4" fmla="*/ 2147483646 w 142"/>
            <a:gd name="T5" fmla="*/ 2147483646 h 25"/>
            <a:gd name="T6" fmla="*/ 2147483646 w 142"/>
            <a:gd name="T7" fmla="*/ 2147483646 h 25"/>
            <a:gd name="T8" fmla="*/ 2147483646 w 142"/>
            <a:gd name="T9" fmla="*/ 2147483646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180975</xdr:colOff>
      <xdr:row>14</xdr:row>
      <xdr:rowOff>85725</xdr:rowOff>
    </xdr:from>
    <xdr:to>
      <xdr:col>7</xdr:col>
      <xdr:colOff>114300</xdr:colOff>
      <xdr:row>14</xdr:row>
      <xdr:rowOff>85725</xdr:rowOff>
    </xdr:to>
    <xdr:sp macro="" textlink="">
      <xdr:nvSpPr>
        <xdr:cNvPr id="141" name="Line 15">
          <a:extLst>
            <a:ext uri="{FF2B5EF4-FFF2-40B4-BE49-F238E27FC236}">
              <a16:creationId xmlns:a16="http://schemas.microsoft.com/office/drawing/2014/main" id="{82F33D94-657E-4E28-977E-3ADA202D1991}"/>
            </a:ext>
          </a:extLst>
        </xdr:cNvPr>
        <xdr:cNvSpPr>
          <a:spLocks noChangeShapeType="1"/>
        </xdr:cNvSpPr>
      </xdr:nvSpPr>
      <xdr:spPr bwMode="auto">
        <a:xfrm>
          <a:off x="3895725" y="25812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104775</xdr:rowOff>
    </xdr:from>
    <xdr:to>
      <xdr:col>7</xdr:col>
      <xdr:colOff>123825</xdr:colOff>
      <xdr:row>16</xdr:row>
      <xdr:rowOff>104775</xdr:rowOff>
    </xdr:to>
    <xdr:sp macro="" textlink="">
      <xdr:nvSpPr>
        <xdr:cNvPr id="142" name="Line 16">
          <a:extLst>
            <a:ext uri="{FF2B5EF4-FFF2-40B4-BE49-F238E27FC236}">
              <a16:creationId xmlns:a16="http://schemas.microsoft.com/office/drawing/2014/main" id="{AA31D54D-2BDE-4836-BF66-7483BB0DA8FB}"/>
            </a:ext>
          </a:extLst>
        </xdr:cNvPr>
        <xdr:cNvSpPr>
          <a:spLocks noChangeShapeType="1"/>
        </xdr:cNvSpPr>
      </xdr:nvSpPr>
      <xdr:spPr bwMode="auto">
        <a:xfrm>
          <a:off x="3905250" y="29432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15</xdr:row>
      <xdr:rowOff>104775</xdr:rowOff>
    </xdr:from>
    <xdr:to>
      <xdr:col>7</xdr:col>
      <xdr:colOff>104775</xdr:colOff>
      <xdr:row>15</xdr:row>
      <xdr:rowOff>104775</xdr:rowOff>
    </xdr:to>
    <xdr:sp macro="" textlink="">
      <xdr:nvSpPr>
        <xdr:cNvPr id="143" name="Line 17">
          <a:extLst>
            <a:ext uri="{FF2B5EF4-FFF2-40B4-BE49-F238E27FC236}">
              <a16:creationId xmlns:a16="http://schemas.microsoft.com/office/drawing/2014/main" id="{5AE6B062-852E-4B60-9B37-8B65A2B04594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17</xdr:row>
      <xdr:rowOff>104775</xdr:rowOff>
    </xdr:from>
    <xdr:to>
      <xdr:col>7</xdr:col>
      <xdr:colOff>114300</xdr:colOff>
      <xdr:row>17</xdr:row>
      <xdr:rowOff>104775</xdr:rowOff>
    </xdr:to>
    <xdr:sp macro="" textlink="">
      <xdr:nvSpPr>
        <xdr:cNvPr id="144" name="Line 18">
          <a:extLst>
            <a:ext uri="{FF2B5EF4-FFF2-40B4-BE49-F238E27FC236}">
              <a16:creationId xmlns:a16="http://schemas.microsoft.com/office/drawing/2014/main" id="{EB91B438-4772-455A-8F3A-73DB84DA6D47}"/>
            </a:ext>
          </a:extLst>
        </xdr:cNvPr>
        <xdr:cNvSpPr>
          <a:spLocks noChangeShapeType="1"/>
        </xdr:cNvSpPr>
      </xdr:nvSpPr>
      <xdr:spPr bwMode="auto">
        <a:xfrm>
          <a:off x="389572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8</xdr:row>
      <xdr:rowOff>104775</xdr:rowOff>
    </xdr:from>
    <xdr:to>
      <xdr:col>7</xdr:col>
      <xdr:colOff>647700</xdr:colOff>
      <xdr:row>8</xdr:row>
      <xdr:rowOff>104775</xdr:rowOff>
    </xdr:to>
    <xdr:sp macro="" textlink="">
      <xdr:nvSpPr>
        <xdr:cNvPr id="145" name="Line 19">
          <a:extLst>
            <a:ext uri="{FF2B5EF4-FFF2-40B4-BE49-F238E27FC236}">
              <a16:creationId xmlns:a16="http://schemas.microsoft.com/office/drawing/2014/main" id="{37DAD2AD-7747-40AE-AD94-5543E4A0359A}"/>
            </a:ext>
          </a:extLst>
        </xdr:cNvPr>
        <xdr:cNvSpPr>
          <a:spLocks noChangeShapeType="1"/>
        </xdr:cNvSpPr>
      </xdr:nvSpPr>
      <xdr:spPr bwMode="auto">
        <a:xfrm flipH="1">
          <a:off x="4419600" y="1571625"/>
          <a:ext cx="619125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8</xdr:row>
      <xdr:rowOff>85725</xdr:rowOff>
    </xdr:from>
    <xdr:to>
      <xdr:col>10</xdr:col>
      <xdr:colOff>9525</xdr:colOff>
      <xdr:row>8</xdr:row>
      <xdr:rowOff>85725</xdr:rowOff>
    </xdr:to>
    <xdr:sp macro="" textlink="">
      <xdr:nvSpPr>
        <xdr:cNvPr id="146" name="Line 20">
          <a:extLst>
            <a:ext uri="{FF2B5EF4-FFF2-40B4-BE49-F238E27FC236}">
              <a16:creationId xmlns:a16="http://schemas.microsoft.com/office/drawing/2014/main" id="{164C8BA5-53A1-43EC-ADFF-183811B99BF3}"/>
            </a:ext>
          </a:extLst>
        </xdr:cNvPr>
        <xdr:cNvSpPr>
          <a:spLocks noChangeShapeType="1"/>
        </xdr:cNvSpPr>
      </xdr:nvSpPr>
      <xdr:spPr bwMode="auto">
        <a:xfrm flipH="1">
          <a:off x="5819775" y="15525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314325</xdr:colOff>
      <xdr:row>8</xdr:row>
      <xdr:rowOff>104775</xdr:rowOff>
    </xdr:from>
    <xdr:to>
      <xdr:col>12</xdr:col>
      <xdr:colOff>247650</xdr:colOff>
      <xdr:row>8</xdr:row>
      <xdr:rowOff>104775</xdr:rowOff>
    </xdr:to>
    <xdr:sp macro="" textlink="">
      <xdr:nvSpPr>
        <xdr:cNvPr id="147" name="Line 21">
          <a:extLst>
            <a:ext uri="{FF2B5EF4-FFF2-40B4-BE49-F238E27FC236}">
              <a16:creationId xmlns:a16="http://schemas.microsoft.com/office/drawing/2014/main" id="{6D27ACA6-F8A8-4DB8-8B55-FFBA1184535F}"/>
            </a:ext>
          </a:extLst>
        </xdr:cNvPr>
        <xdr:cNvSpPr>
          <a:spLocks noChangeShapeType="1"/>
        </xdr:cNvSpPr>
      </xdr:nvSpPr>
      <xdr:spPr bwMode="auto">
        <a:xfrm flipH="1">
          <a:off x="7410450" y="157162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14</xdr:row>
      <xdr:rowOff>95250</xdr:rowOff>
    </xdr:from>
    <xdr:to>
      <xdr:col>10</xdr:col>
      <xdr:colOff>0</xdr:colOff>
      <xdr:row>14</xdr:row>
      <xdr:rowOff>95250</xdr:rowOff>
    </xdr:to>
    <xdr:sp macro="" textlink="">
      <xdr:nvSpPr>
        <xdr:cNvPr id="148" name="Line 22">
          <a:extLst>
            <a:ext uri="{FF2B5EF4-FFF2-40B4-BE49-F238E27FC236}">
              <a16:creationId xmlns:a16="http://schemas.microsoft.com/office/drawing/2014/main" id="{3384D276-C6CE-468F-BF9A-26FF16394097}"/>
            </a:ext>
          </a:extLst>
        </xdr:cNvPr>
        <xdr:cNvSpPr>
          <a:spLocks noChangeShapeType="1"/>
        </xdr:cNvSpPr>
      </xdr:nvSpPr>
      <xdr:spPr bwMode="auto">
        <a:xfrm>
          <a:off x="5810250" y="25908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16</xdr:row>
      <xdr:rowOff>114300</xdr:rowOff>
    </xdr:from>
    <xdr:to>
      <xdr:col>10</xdr:col>
      <xdr:colOff>9525</xdr:colOff>
      <xdr:row>16</xdr:row>
      <xdr:rowOff>114300</xdr:rowOff>
    </xdr:to>
    <xdr:sp macro="" textlink="">
      <xdr:nvSpPr>
        <xdr:cNvPr id="149" name="Line 23">
          <a:extLst>
            <a:ext uri="{FF2B5EF4-FFF2-40B4-BE49-F238E27FC236}">
              <a16:creationId xmlns:a16="http://schemas.microsoft.com/office/drawing/2014/main" id="{87EFB9A7-B27C-47D2-8C33-D20C9D90FED3}"/>
            </a:ext>
          </a:extLst>
        </xdr:cNvPr>
        <xdr:cNvSpPr>
          <a:spLocks noChangeShapeType="1"/>
        </xdr:cNvSpPr>
      </xdr:nvSpPr>
      <xdr:spPr bwMode="auto">
        <a:xfrm>
          <a:off x="5819775" y="295275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15</xdr:row>
      <xdr:rowOff>114300</xdr:rowOff>
    </xdr:from>
    <xdr:to>
      <xdr:col>10</xdr:col>
      <xdr:colOff>0</xdr:colOff>
      <xdr:row>15</xdr:row>
      <xdr:rowOff>114300</xdr:rowOff>
    </xdr:to>
    <xdr:sp macro="" textlink="">
      <xdr:nvSpPr>
        <xdr:cNvPr id="150" name="Line 24">
          <a:extLst>
            <a:ext uri="{FF2B5EF4-FFF2-40B4-BE49-F238E27FC236}">
              <a16:creationId xmlns:a16="http://schemas.microsoft.com/office/drawing/2014/main" id="{5481E18D-65C9-4C6E-A60B-E8CD14743CA6}"/>
            </a:ext>
          </a:extLst>
        </xdr:cNvPr>
        <xdr:cNvSpPr>
          <a:spLocks noChangeShapeType="1"/>
        </xdr:cNvSpPr>
      </xdr:nvSpPr>
      <xdr:spPr bwMode="auto">
        <a:xfrm>
          <a:off x="5810250" y="2781300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17</xdr:row>
      <xdr:rowOff>104775</xdr:rowOff>
    </xdr:from>
    <xdr:to>
      <xdr:col>10</xdr:col>
      <xdr:colOff>9525</xdr:colOff>
      <xdr:row>17</xdr:row>
      <xdr:rowOff>104775</xdr:rowOff>
    </xdr:to>
    <xdr:sp macro="" textlink="">
      <xdr:nvSpPr>
        <xdr:cNvPr id="151" name="Line 25">
          <a:extLst>
            <a:ext uri="{FF2B5EF4-FFF2-40B4-BE49-F238E27FC236}">
              <a16:creationId xmlns:a16="http://schemas.microsoft.com/office/drawing/2014/main" id="{1B83F93A-E4FF-44EE-87C1-A7B9AC3E7A00}"/>
            </a:ext>
          </a:extLst>
        </xdr:cNvPr>
        <xdr:cNvSpPr>
          <a:spLocks noChangeShapeType="1"/>
        </xdr:cNvSpPr>
      </xdr:nvSpPr>
      <xdr:spPr bwMode="auto">
        <a:xfrm>
          <a:off x="5819775" y="3114675"/>
          <a:ext cx="60960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17</xdr:row>
      <xdr:rowOff>38100</xdr:rowOff>
    </xdr:from>
    <xdr:to>
      <xdr:col>7</xdr:col>
      <xdr:colOff>657225</xdr:colOff>
      <xdr:row>19</xdr:row>
      <xdr:rowOff>152400</xdr:rowOff>
    </xdr:to>
    <xdr:sp macro="" textlink="">
      <xdr:nvSpPr>
        <xdr:cNvPr id="152" name="AutoShape 26">
          <a:extLst>
            <a:ext uri="{FF2B5EF4-FFF2-40B4-BE49-F238E27FC236}">
              <a16:creationId xmlns:a16="http://schemas.microsoft.com/office/drawing/2014/main" id="{9135B792-7CE5-4789-A848-5F80BB5CFAD7}"/>
            </a:ext>
          </a:extLst>
        </xdr:cNvPr>
        <xdr:cNvSpPr>
          <a:spLocks noChangeArrowheads="1"/>
        </xdr:cNvSpPr>
      </xdr:nvSpPr>
      <xdr:spPr bwMode="auto">
        <a:xfrm>
          <a:off x="4524375" y="3048000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238125</xdr:colOff>
      <xdr:row>17</xdr:row>
      <xdr:rowOff>28575</xdr:rowOff>
    </xdr:from>
    <xdr:to>
      <xdr:col>12</xdr:col>
      <xdr:colOff>76200</xdr:colOff>
      <xdr:row>19</xdr:row>
      <xdr:rowOff>142875</xdr:rowOff>
    </xdr:to>
    <xdr:sp macro="" textlink="">
      <xdr:nvSpPr>
        <xdr:cNvPr id="153" name="AutoShape 27">
          <a:extLst>
            <a:ext uri="{FF2B5EF4-FFF2-40B4-BE49-F238E27FC236}">
              <a16:creationId xmlns:a16="http://schemas.microsoft.com/office/drawing/2014/main" id="{D370D06C-3418-46AD-8E61-807D164F3369}"/>
            </a:ext>
          </a:extLst>
        </xdr:cNvPr>
        <xdr:cNvSpPr>
          <a:spLocks noChangeArrowheads="1"/>
        </xdr:cNvSpPr>
      </xdr:nvSpPr>
      <xdr:spPr bwMode="auto">
        <a:xfrm>
          <a:off x="7334250" y="3038475"/>
          <a:ext cx="51435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104775</xdr:colOff>
      <xdr:row>17</xdr:row>
      <xdr:rowOff>38100</xdr:rowOff>
    </xdr:from>
    <xdr:to>
      <xdr:col>10</xdr:col>
      <xdr:colOff>561975</xdr:colOff>
      <xdr:row>20</xdr:row>
      <xdr:rowOff>47625</xdr:rowOff>
    </xdr:to>
    <xdr:sp macro="" textlink="">
      <xdr:nvSpPr>
        <xdr:cNvPr id="154" name="AutoShape 28">
          <a:extLst>
            <a:ext uri="{FF2B5EF4-FFF2-40B4-BE49-F238E27FC236}">
              <a16:creationId xmlns:a16="http://schemas.microsoft.com/office/drawing/2014/main" id="{ED9DCF6A-6E47-494F-9775-CA31A059413A}"/>
            </a:ext>
          </a:extLst>
        </xdr:cNvPr>
        <xdr:cNvSpPr>
          <a:spLocks noChangeArrowheads="1"/>
        </xdr:cNvSpPr>
      </xdr:nvSpPr>
      <xdr:spPr bwMode="auto">
        <a:xfrm rot="5400000">
          <a:off x="64912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17</xdr:row>
      <xdr:rowOff>38100</xdr:rowOff>
    </xdr:from>
    <xdr:to>
      <xdr:col>6</xdr:col>
      <xdr:colOff>561975</xdr:colOff>
      <xdr:row>20</xdr:row>
      <xdr:rowOff>47625</xdr:rowOff>
    </xdr:to>
    <xdr:sp macro="" textlink="">
      <xdr:nvSpPr>
        <xdr:cNvPr id="155" name="AutoShape 29">
          <a:extLst>
            <a:ext uri="{FF2B5EF4-FFF2-40B4-BE49-F238E27FC236}">
              <a16:creationId xmlns:a16="http://schemas.microsoft.com/office/drawing/2014/main" id="{114CB88E-D5E8-40D4-B822-639766B11C71}"/>
            </a:ext>
          </a:extLst>
        </xdr:cNvPr>
        <xdr:cNvSpPr>
          <a:spLocks noChangeArrowheads="1"/>
        </xdr:cNvSpPr>
      </xdr:nvSpPr>
      <xdr:spPr bwMode="auto">
        <a:xfrm rot="5400000">
          <a:off x="37861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6</xdr:row>
      <xdr:rowOff>114300</xdr:rowOff>
    </xdr:from>
    <xdr:to>
      <xdr:col>0</xdr:col>
      <xdr:colOff>523875</xdr:colOff>
      <xdr:row>19</xdr:row>
      <xdr:rowOff>85725</xdr:rowOff>
    </xdr:to>
    <xdr:sp macro="" textlink="">
      <xdr:nvSpPr>
        <xdr:cNvPr id="156" name="Text Box 30">
          <a:extLst>
            <a:ext uri="{FF2B5EF4-FFF2-40B4-BE49-F238E27FC236}">
              <a16:creationId xmlns:a16="http://schemas.microsoft.com/office/drawing/2014/main" id="{3020D8F8-448F-4D08-B152-C6A38DDD09F7}"/>
            </a:ext>
          </a:extLst>
        </xdr:cNvPr>
        <xdr:cNvSpPr txBox="1">
          <a:spLocks noChangeArrowheads="1"/>
        </xdr:cNvSpPr>
      </xdr:nvSpPr>
      <xdr:spPr bwMode="auto">
        <a:xfrm>
          <a:off x="133350" y="1238250"/>
          <a:ext cx="390525" cy="220027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１１００ｍ折り返し地点から上流は航行禁止</a:t>
          </a:r>
        </a:p>
      </xdr:txBody>
    </xdr:sp>
    <xdr:clientData/>
  </xdr:twoCellAnchor>
  <xdr:twoCellAnchor>
    <xdr:from>
      <xdr:col>13</xdr:col>
      <xdr:colOff>400050</xdr:colOff>
      <xdr:row>9</xdr:row>
      <xdr:rowOff>123825</xdr:rowOff>
    </xdr:from>
    <xdr:to>
      <xdr:col>14</xdr:col>
      <xdr:colOff>219075</xdr:colOff>
      <xdr:row>16</xdr:row>
      <xdr:rowOff>85725</xdr:rowOff>
    </xdr:to>
    <xdr:sp macro="" textlink="">
      <xdr:nvSpPr>
        <xdr:cNvPr id="157" name="AutoShape 32">
          <a:extLst>
            <a:ext uri="{FF2B5EF4-FFF2-40B4-BE49-F238E27FC236}">
              <a16:creationId xmlns:a16="http://schemas.microsoft.com/office/drawing/2014/main" id="{BEFECADC-09FB-4A1C-BD38-E5A32074CFD6}"/>
            </a:ext>
          </a:extLst>
        </xdr:cNvPr>
        <xdr:cNvSpPr>
          <a:spLocks noChangeArrowheads="1"/>
        </xdr:cNvSpPr>
      </xdr:nvSpPr>
      <xdr:spPr bwMode="auto">
        <a:xfrm rot="-5527266">
          <a:off x="8515350" y="2095500"/>
          <a:ext cx="1162050" cy="495300"/>
        </a:xfrm>
        <a:prstGeom prst="curvedUpArrow">
          <a:avLst>
            <a:gd name="adj1" fmla="val 46038"/>
            <a:gd name="adj2" fmla="val 92075"/>
            <a:gd name="adj3" fmla="val 41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9</xdr:row>
      <xdr:rowOff>47625</xdr:rowOff>
    </xdr:from>
    <xdr:to>
      <xdr:col>5</xdr:col>
      <xdr:colOff>247650</xdr:colOff>
      <xdr:row>16</xdr:row>
      <xdr:rowOff>57150</xdr:rowOff>
    </xdr:to>
    <xdr:sp macro="" textlink="">
      <xdr:nvSpPr>
        <xdr:cNvPr id="158" name="AutoShape 33">
          <a:extLst>
            <a:ext uri="{FF2B5EF4-FFF2-40B4-BE49-F238E27FC236}">
              <a16:creationId xmlns:a16="http://schemas.microsoft.com/office/drawing/2014/main" id="{2EBCC3D1-4013-422E-9C66-4FDBD3ACDA99}"/>
            </a:ext>
          </a:extLst>
        </xdr:cNvPr>
        <xdr:cNvSpPr>
          <a:spLocks noChangeArrowheads="1"/>
        </xdr:cNvSpPr>
      </xdr:nvSpPr>
      <xdr:spPr bwMode="auto">
        <a:xfrm rot="5400000">
          <a:off x="2466975" y="2171700"/>
          <a:ext cx="1209675" cy="238125"/>
        </a:xfrm>
        <a:prstGeom prst="curvedUpArrow">
          <a:avLst>
            <a:gd name="adj1" fmla="val 69286"/>
            <a:gd name="adj2" fmla="val 203200"/>
            <a:gd name="adj3" fmla="val 7423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22</xdr:row>
      <xdr:rowOff>161925</xdr:rowOff>
    </xdr:from>
    <xdr:to>
      <xdr:col>2</xdr:col>
      <xdr:colOff>666750</xdr:colOff>
      <xdr:row>23</xdr:row>
      <xdr:rowOff>0</xdr:rowOff>
    </xdr:to>
    <xdr:sp macro="" textlink="">
      <xdr:nvSpPr>
        <xdr:cNvPr id="159" name="Line 34">
          <a:extLst>
            <a:ext uri="{FF2B5EF4-FFF2-40B4-BE49-F238E27FC236}">
              <a16:creationId xmlns:a16="http://schemas.microsoft.com/office/drawing/2014/main" id="{2EE84A33-70C7-4019-B93B-4F7018DD4073}"/>
            </a:ext>
          </a:extLst>
        </xdr:cNvPr>
        <xdr:cNvSpPr>
          <a:spLocks noChangeShapeType="1"/>
        </xdr:cNvSpPr>
      </xdr:nvSpPr>
      <xdr:spPr bwMode="auto">
        <a:xfrm flipV="1">
          <a:off x="723900" y="4029075"/>
          <a:ext cx="12954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21</xdr:row>
      <xdr:rowOff>104775</xdr:rowOff>
    </xdr:from>
    <xdr:to>
      <xdr:col>5</xdr:col>
      <xdr:colOff>428625</xdr:colOff>
      <xdr:row>23</xdr:row>
      <xdr:rowOff>161925</xdr:rowOff>
    </xdr:to>
    <xdr:sp macro="" textlink="">
      <xdr:nvSpPr>
        <xdr:cNvPr id="160" name="Freeform 35">
          <a:extLst>
            <a:ext uri="{FF2B5EF4-FFF2-40B4-BE49-F238E27FC236}">
              <a16:creationId xmlns:a16="http://schemas.microsoft.com/office/drawing/2014/main" id="{2087923B-34FD-46F3-A177-482BD40BA4F8}"/>
            </a:ext>
          </a:extLst>
        </xdr:cNvPr>
        <xdr:cNvSpPr>
          <a:spLocks/>
        </xdr:cNvSpPr>
      </xdr:nvSpPr>
      <xdr:spPr bwMode="auto">
        <a:xfrm>
          <a:off x="2028825" y="3800475"/>
          <a:ext cx="1343025" cy="400050"/>
        </a:xfrm>
        <a:custGeom>
          <a:avLst/>
          <a:gdLst>
            <a:gd name="T0" fmla="*/ 0 w 118"/>
            <a:gd name="T1" fmla="*/ 2147483646 h 42"/>
            <a:gd name="T2" fmla="*/ 2147483646 w 118"/>
            <a:gd name="T3" fmla="*/ 2147483646 h 42"/>
            <a:gd name="T4" fmla="*/ 2147483646 w 118"/>
            <a:gd name="T5" fmla="*/ 2147483646 h 42"/>
            <a:gd name="T6" fmla="*/ 2147483646 w 118"/>
            <a:gd name="T7" fmla="*/ 2147483646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57150</xdr:rowOff>
    </xdr:from>
    <xdr:to>
      <xdr:col>10</xdr:col>
      <xdr:colOff>552450</xdr:colOff>
      <xdr:row>7</xdr:row>
      <xdr:rowOff>123825</xdr:rowOff>
    </xdr:to>
    <xdr:sp macro="" textlink="">
      <xdr:nvSpPr>
        <xdr:cNvPr id="161" name="Line 36">
          <a:extLst>
            <a:ext uri="{FF2B5EF4-FFF2-40B4-BE49-F238E27FC236}">
              <a16:creationId xmlns:a16="http://schemas.microsoft.com/office/drawing/2014/main" id="{B887A1C2-F085-4190-A412-F972FD8F2C06}"/>
            </a:ext>
          </a:extLst>
        </xdr:cNvPr>
        <xdr:cNvSpPr>
          <a:spLocks noChangeShapeType="1"/>
        </xdr:cNvSpPr>
      </xdr:nvSpPr>
      <xdr:spPr bwMode="auto">
        <a:xfrm flipV="1">
          <a:off x="695325" y="1009650"/>
          <a:ext cx="62769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1</xdr:row>
      <xdr:rowOff>28575</xdr:rowOff>
    </xdr:from>
    <xdr:to>
      <xdr:col>11</xdr:col>
      <xdr:colOff>228600</xdr:colOff>
      <xdr:row>5</xdr:row>
      <xdr:rowOff>57150</xdr:rowOff>
    </xdr:to>
    <xdr:sp macro="" textlink="">
      <xdr:nvSpPr>
        <xdr:cNvPr id="162" name="Freeform 37">
          <a:extLst>
            <a:ext uri="{FF2B5EF4-FFF2-40B4-BE49-F238E27FC236}">
              <a16:creationId xmlns:a16="http://schemas.microsoft.com/office/drawing/2014/main" id="{80851018-B5AD-4E46-A447-2B346E376171}"/>
            </a:ext>
          </a:extLst>
        </xdr:cNvPr>
        <xdr:cNvSpPr>
          <a:spLocks/>
        </xdr:cNvSpPr>
      </xdr:nvSpPr>
      <xdr:spPr bwMode="auto">
        <a:xfrm>
          <a:off x="6953250" y="295275"/>
          <a:ext cx="371475" cy="714375"/>
        </a:xfrm>
        <a:custGeom>
          <a:avLst/>
          <a:gdLst>
            <a:gd name="T0" fmla="*/ 0 w 40"/>
            <a:gd name="T1" fmla="*/ 2147483646 h 59"/>
            <a:gd name="T2" fmla="*/ 2147483646 w 40"/>
            <a:gd name="T3" fmla="*/ 2147483646 h 59"/>
            <a:gd name="T4" fmla="*/ 2147483646 w 40"/>
            <a:gd name="T5" fmla="*/ 2147483646 h 59"/>
            <a:gd name="T6" fmla="*/ 2147483646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333375</xdr:colOff>
      <xdr:row>2</xdr:row>
      <xdr:rowOff>133350</xdr:rowOff>
    </xdr:from>
    <xdr:to>
      <xdr:col>13</xdr:col>
      <xdr:colOff>114300</xdr:colOff>
      <xdr:row>5</xdr:row>
      <xdr:rowOff>9525</xdr:rowOff>
    </xdr:to>
    <xdr:sp macro="" textlink="">
      <xdr:nvSpPr>
        <xdr:cNvPr id="163" name="Text Box 38">
          <a:extLst>
            <a:ext uri="{FF2B5EF4-FFF2-40B4-BE49-F238E27FC236}">
              <a16:creationId xmlns:a16="http://schemas.microsoft.com/office/drawing/2014/main" id="{336BF9D0-8305-4EE1-8F80-FBABBB6E8C40}"/>
            </a:ext>
          </a:extLst>
        </xdr:cNvPr>
        <xdr:cNvSpPr txBox="1">
          <a:spLocks noChangeArrowheads="1"/>
        </xdr:cNvSpPr>
      </xdr:nvSpPr>
      <xdr:spPr bwMode="auto">
        <a:xfrm>
          <a:off x="7429500" y="571500"/>
          <a:ext cx="1133475" cy="390525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練習水域は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使用禁止</a:t>
          </a:r>
        </a:p>
      </xdr:txBody>
    </xdr:sp>
    <xdr:clientData/>
  </xdr:twoCellAnchor>
  <xdr:twoCellAnchor>
    <xdr:from>
      <xdr:col>13</xdr:col>
      <xdr:colOff>609600</xdr:colOff>
      <xdr:row>17</xdr:row>
      <xdr:rowOff>57150</xdr:rowOff>
    </xdr:from>
    <xdr:to>
      <xdr:col>15</xdr:col>
      <xdr:colOff>657225</xdr:colOff>
      <xdr:row>23</xdr:row>
      <xdr:rowOff>114300</xdr:rowOff>
    </xdr:to>
    <xdr:sp macro="" textlink="">
      <xdr:nvSpPr>
        <xdr:cNvPr id="164" name="AutoShape 39">
          <a:extLst>
            <a:ext uri="{FF2B5EF4-FFF2-40B4-BE49-F238E27FC236}">
              <a16:creationId xmlns:a16="http://schemas.microsoft.com/office/drawing/2014/main" id="{DA5C463B-9B9E-4E42-A654-1BBDEE7CF6D1}"/>
            </a:ext>
          </a:extLst>
        </xdr:cNvPr>
        <xdr:cNvSpPr>
          <a:spLocks noChangeArrowheads="1"/>
        </xdr:cNvSpPr>
      </xdr:nvSpPr>
      <xdr:spPr bwMode="auto">
        <a:xfrm>
          <a:off x="9058275" y="3067050"/>
          <a:ext cx="1400175" cy="1085850"/>
        </a:xfrm>
        <a:prstGeom prst="wedgeRoundRectCallout">
          <a:avLst>
            <a:gd name="adj1" fmla="val -22481"/>
            <a:gd name="adj2" fmla="val -978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ゴール後の水域が狭いので、すみやかに折り返すこと。その際は後続の艇の接近に注意する。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114300</xdr:colOff>
      <xdr:row>6</xdr:row>
      <xdr:rowOff>161925</xdr:rowOff>
    </xdr:from>
    <xdr:to>
      <xdr:col>14</xdr:col>
      <xdr:colOff>438150</xdr:colOff>
      <xdr:row>9</xdr:row>
      <xdr:rowOff>85725</xdr:rowOff>
    </xdr:to>
    <xdr:sp macro="" textlink="">
      <xdr:nvSpPr>
        <xdr:cNvPr id="165" name="AutoShape 40">
          <a:extLst>
            <a:ext uri="{FF2B5EF4-FFF2-40B4-BE49-F238E27FC236}">
              <a16:creationId xmlns:a16="http://schemas.microsoft.com/office/drawing/2014/main" id="{0D041DF7-EC02-43B3-8501-FC174A26823E}"/>
            </a:ext>
          </a:extLst>
        </xdr:cNvPr>
        <xdr:cNvSpPr>
          <a:spLocks noChangeArrowheads="1"/>
        </xdr:cNvSpPr>
      </xdr:nvSpPr>
      <xdr:spPr bwMode="auto">
        <a:xfrm>
          <a:off x="8562975" y="1285875"/>
          <a:ext cx="1000125" cy="438150"/>
        </a:xfrm>
        <a:prstGeom prst="wedgeRectCallout">
          <a:avLst>
            <a:gd name="adj1" fmla="val -59435"/>
            <a:gd name="adj2" fmla="val 804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ゴールライン対岸よりのワイヤーに注意</a:t>
          </a:r>
        </a:p>
      </xdr:txBody>
    </xdr:sp>
    <xdr:clientData/>
  </xdr:twoCellAnchor>
  <xdr:twoCellAnchor>
    <xdr:from>
      <xdr:col>0</xdr:col>
      <xdr:colOff>57150</xdr:colOff>
      <xdr:row>0</xdr:row>
      <xdr:rowOff>104775</xdr:rowOff>
    </xdr:from>
    <xdr:to>
      <xdr:col>6</xdr:col>
      <xdr:colOff>542925</xdr:colOff>
      <xdr:row>3</xdr:row>
      <xdr:rowOff>57150</xdr:rowOff>
    </xdr:to>
    <xdr:sp macro="" textlink="">
      <xdr:nvSpPr>
        <xdr:cNvPr id="166" name="Text Box 41">
          <a:extLst>
            <a:ext uri="{FF2B5EF4-FFF2-40B4-BE49-F238E27FC236}">
              <a16:creationId xmlns:a16="http://schemas.microsoft.com/office/drawing/2014/main" id="{DCF6D2E2-FAC3-4248-A5AD-161E6D3B5CB1}"/>
            </a:ext>
          </a:extLst>
        </xdr:cNvPr>
        <xdr:cNvSpPr txBox="1">
          <a:spLocks noChangeArrowheads="1"/>
        </xdr:cNvSpPr>
      </xdr:nvSpPr>
      <xdr:spPr bwMode="auto">
        <a:xfrm>
          <a:off x="57150" y="104775"/>
          <a:ext cx="4200525" cy="561975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高校総体２次予選・航行ルール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試合日の試合開始１時間前まで。試合終了３０分後より。</a:t>
          </a:r>
        </a:p>
      </xdr:txBody>
    </xdr:sp>
    <xdr:clientData/>
  </xdr:twoCellAnchor>
  <xdr:twoCellAnchor>
    <xdr:from>
      <xdr:col>3</xdr:col>
      <xdr:colOff>571500</xdr:colOff>
      <xdr:row>11</xdr:row>
      <xdr:rowOff>38100</xdr:rowOff>
    </xdr:from>
    <xdr:to>
      <xdr:col>4</xdr:col>
      <xdr:colOff>123825</xdr:colOff>
      <xdr:row>17</xdr:row>
      <xdr:rowOff>142875</xdr:rowOff>
    </xdr:to>
    <xdr:sp macro="" textlink="">
      <xdr:nvSpPr>
        <xdr:cNvPr id="167" name="Text Box 42">
          <a:extLst>
            <a:ext uri="{FF2B5EF4-FFF2-40B4-BE49-F238E27FC236}">
              <a16:creationId xmlns:a16="http://schemas.microsoft.com/office/drawing/2014/main" id="{C05FB334-D213-4929-BEE0-3FDF376A8B6E}"/>
            </a:ext>
          </a:extLst>
        </xdr:cNvPr>
        <xdr:cNvSpPr txBox="1">
          <a:spLocks noChangeArrowheads="1"/>
        </xdr:cNvSpPr>
      </xdr:nvSpPr>
      <xdr:spPr bwMode="auto">
        <a:xfrm>
          <a:off x="2600325" y="2019300"/>
          <a:ext cx="22860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</xdr:txBody>
    </xdr:sp>
    <xdr:clientData/>
  </xdr:twoCellAnchor>
  <xdr:twoCellAnchor>
    <xdr:from>
      <xdr:col>7</xdr:col>
      <xdr:colOff>390525</xdr:colOff>
      <xdr:row>1</xdr:row>
      <xdr:rowOff>85725</xdr:rowOff>
    </xdr:from>
    <xdr:to>
      <xdr:col>8</xdr:col>
      <xdr:colOff>523875</xdr:colOff>
      <xdr:row>1</xdr:row>
      <xdr:rowOff>85725</xdr:rowOff>
    </xdr:to>
    <xdr:sp macro="" textlink="">
      <xdr:nvSpPr>
        <xdr:cNvPr id="168" name="Line 43">
          <a:extLst>
            <a:ext uri="{FF2B5EF4-FFF2-40B4-BE49-F238E27FC236}">
              <a16:creationId xmlns:a16="http://schemas.microsoft.com/office/drawing/2014/main" id="{D046F5A8-54BD-434F-B6CB-A5E1BE1ACE56}"/>
            </a:ext>
          </a:extLst>
        </xdr:cNvPr>
        <xdr:cNvSpPr>
          <a:spLocks noChangeShapeType="1"/>
        </xdr:cNvSpPr>
      </xdr:nvSpPr>
      <xdr:spPr bwMode="auto">
        <a:xfrm flipH="1">
          <a:off x="4781550" y="35242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180975</xdr:colOff>
      <xdr:row>0</xdr:row>
      <xdr:rowOff>180975</xdr:rowOff>
    </xdr:from>
    <xdr:to>
      <xdr:col>8</xdr:col>
      <xdr:colOff>180975</xdr:colOff>
      <xdr:row>2</xdr:row>
      <xdr:rowOff>76200</xdr:rowOff>
    </xdr:to>
    <xdr:sp macro="" textlink="">
      <xdr:nvSpPr>
        <xdr:cNvPr id="169" name="Line 44">
          <a:extLst>
            <a:ext uri="{FF2B5EF4-FFF2-40B4-BE49-F238E27FC236}">
              <a16:creationId xmlns:a16="http://schemas.microsoft.com/office/drawing/2014/main" id="{A95D81F7-C460-498E-90AC-058FD0D9ED87}"/>
            </a:ext>
          </a:extLst>
        </xdr:cNvPr>
        <xdr:cNvSpPr>
          <a:spLocks noChangeShapeType="1"/>
        </xdr:cNvSpPr>
      </xdr:nvSpPr>
      <xdr:spPr bwMode="auto">
        <a:xfrm>
          <a:off x="5248275" y="18097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5</xdr:row>
      <xdr:rowOff>19050</xdr:rowOff>
    </xdr:from>
    <xdr:to>
      <xdr:col>15</xdr:col>
      <xdr:colOff>352425</xdr:colOff>
      <xdr:row>23</xdr:row>
      <xdr:rowOff>171450</xdr:rowOff>
    </xdr:to>
    <xdr:sp macro="" textlink="">
      <xdr:nvSpPr>
        <xdr:cNvPr id="170" name="Freeform 1">
          <a:extLst>
            <a:ext uri="{FF2B5EF4-FFF2-40B4-BE49-F238E27FC236}">
              <a16:creationId xmlns:a16="http://schemas.microsoft.com/office/drawing/2014/main" id="{958FA7E5-0144-4DA8-8589-8CEC93EE9778}"/>
            </a:ext>
          </a:extLst>
        </xdr:cNvPr>
        <xdr:cNvSpPr>
          <a:spLocks noChangeArrowheads="1"/>
        </xdr:cNvSpPr>
      </xdr:nvSpPr>
      <xdr:spPr bwMode="auto">
        <a:xfrm>
          <a:off x="7791450" y="971550"/>
          <a:ext cx="2362200" cy="3238500"/>
        </a:xfrm>
        <a:custGeom>
          <a:avLst/>
          <a:gdLst>
            <a:gd name="T0" fmla="*/ 0 w 251"/>
            <a:gd name="T1" fmla="*/ 2147483646 h 343"/>
            <a:gd name="T2" fmla="*/ 2147483646 w 251"/>
            <a:gd name="T3" fmla="*/ 2147483646 h 343"/>
            <a:gd name="T4" fmla="*/ 2147483646 w 251"/>
            <a:gd name="T5" fmla="*/ 2147483646 h 343"/>
            <a:gd name="T6" fmla="*/ 2147483646 w 251"/>
            <a:gd name="T7" fmla="*/ 2147483646 h 343"/>
            <a:gd name="T8" fmla="*/ 2147483646 w 251"/>
            <a:gd name="T9" fmla="*/ 2147483646 h 343"/>
            <a:gd name="T10" fmla="*/ 2147483646 w 251"/>
            <a:gd name="T11" fmla="*/ 2147483646 h 343"/>
            <a:gd name="T12" fmla="*/ 2147483646 w 251"/>
            <a:gd name="T13" fmla="*/ 2147483646 h 343"/>
            <a:gd name="T14" fmla="*/ 2147483646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200025</xdr:colOff>
      <xdr:row>24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0F333505-B069-4ACD-8596-46720D4FC7F2}"/>
            </a:ext>
          </a:extLst>
        </xdr:cNvPr>
        <xdr:cNvSpPr>
          <a:spLocks noChangeShapeType="1"/>
        </xdr:cNvSpPr>
      </xdr:nvSpPr>
      <xdr:spPr bwMode="auto">
        <a:xfrm>
          <a:off x="6619875" y="4210050"/>
          <a:ext cx="11620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457200</xdr:colOff>
      <xdr:row>24</xdr:row>
      <xdr:rowOff>0</xdr:rowOff>
    </xdr:from>
    <xdr:to>
      <xdr:col>8</xdr:col>
      <xdr:colOff>219075</xdr:colOff>
      <xdr:row>24</xdr:row>
      <xdr:rowOff>0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1151106F-C141-48DB-89A5-9221CA64E18F}"/>
            </a:ext>
          </a:extLst>
        </xdr:cNvPr>
        <xdr:cNvSpPr>
          <a:spLocks noChangeShapeType="1"/>
        </xdr:cNvSpPr>
      </xdr:nvSpPr>
      <xdr:spPr bwMode="auto">
        <a:xfrm>
          <a:off x="4171950" y="4210050"/>
          <a:ext cx="11144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22</xdr:row>
      <xdr:rowOff>28575</xdr:rowOff>
    </xdr:from>
    <xdr:to>
      <xdr:col>6</xdr:col>
      <xdr:colOff>209550</xdr:colOff>
      <xdr:row>23</xdr:row>
      <xdr:rowOff>161925</xdr:rowOff>
    </xdr:to>
    <xdr:sp macro="" textlink="">
      <xdr:nvSpPr>
        <xdr:cNvPr id="173" name="Rectangle 4">
          <a:extLst>
            <a:ext uri="{FF2B5EF4-FFF2-40B4-BE49-F238E27FC236}">
              <a16:creationId xmlns:a16="http://schemas.microsoft.com/office/drawing/2014/main" id="{E7AFE29E-CBBF-4F23-89C5-F4CB630B26BF}"/>
            </a:ext>
          </a:extLst>
        </xdr:cNvPr>
        <xdr:cNvSpPr>
          <a:spLocks noChangeArrowheads="1"/>
        </xdr:cNvSpPr>
      </xdr:nvSpPr>
      <xdr:spPr bwMode="auto">
        <a:xfrm>
          <a:off x="3714750" y="3895725"/>
          <a:ext cx="209550" cy="304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533400</xdr:colOff>
      <xdr:row>22</xdr:row>
      <xdr:rowOff>28575</xdr:rowOff>
    </xdr:from>
    <xdr:to>
      <xdr:col>7</xdr:col>
      <xdr:colOff>57150</xdr:colOff>
      <xdr:row>24</xdr:row>
      <xdr:rowOff>19050</xdr:rowOff>
    </xdr:to>
    <xdr:sp macro="" textlink="">
      <xdr:nvSpPr>
        <xdr:cNvPr id="174" name="Rectangle 5">
          <a:extLst>
            <a:ext uri="{FF2B5EF4-FFF2-40B4-BE49-F238E27FC236}">
              <a16:creationId xmlns:a16="http://schemas.microsoft.com/office/drawing/2014/main" id="{6D45A539-6692-4AD8-8782-AF84EA020A2C}"/>
            </a:ext>
          </a:extLst>
        </xdr:cNvPr>
        <xdr:cNvSpPr>
          <a:spLocks noChangeArrowheads="1"/>
        </xdr:cNvSpPr>
      </xdr:nvSpPr>
      <xdr:spPr bwMode="auto">
        <a:xfrm>
          <a:off x="4248150" y="3895725"/>
          <a:ext cx="200025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22</xdr:row>
      <xdr:rowOff>28575</xdr:rowOff>
    </xdr:from>
    <xdr:to>
      <xdr:col>7</xdr:col>
      <xdr:colOff>371475</xdr:colOff>
      <xdr:row>24</xdr:row>
      <xdr:rowOff>19050</xdr:rowOff>
    </xdr:to>
    <xdr:sp macro="" textlink="">
      <xdr:nvSpPr>
        <xdr:cNvPr id="175" name="Rectangle 6">
          <a:extLst>
            <a:ext uri="{FF2B5EF4-FFF2-40B4-BE49-F238E27FC236}">
              <a16:creationId xmlns:a16="http://schemas.microsoft.com/office/drawing/2014/main" id="{DF701229-932F-417A-95FE-3683CD6C266F}"/>
            </a:ext>
          </a:extLst>
        </xdr:cNvPr>
        <xdr:cNvSpPr>
          <a:spLocks noChangeArrowheads="1"/>
        </xdr:cNvSpPr>
      </xdr:nvSpPr>
      <xdr:spPr bwMode="auto">
        <a:xfrm>
          <a:off x="4552950" y="3895725"/>
          <a:ext cx="20955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438150</xdr:colOff>
      <xdr:row>22</xdr:row>
      <xdr:rowOff>19050</xdr:rowOff>
    </xdr:from>
    <xdr:to>
      <xdr:col>7</xdr:col>
      <xdr:colOff>647700</xdr:colOff>
      <xdr:row>24</xdr:row>
      <xdr:rowOff>19050</xdr:rowOff>
    </xdr:to>
    <xdr:sp macro="" textlink="">
      <xdr:nvSpPr>
        <xdr:cNvPr id="176" name="Rectangle 7">
          <a:extLst>
            <a:ext uri="{FF2B5EF4-FFF2-40B4-BE49-F238E27FC236}">
              <a16:creationId xmlns:a16="http://schemas.microsoft.com/office/drawing/2014/main" id="{6AD8C472-5372-499F-8135-37AD14C10D08}"/>
            </a:ext>
          </a:extLst>
        </xdr:cNvPr>
        <xdr:cNvSpPr>
          <a:spLocks noChangeArrowheads="1"/>
        </xdr:cNvSpPr>
      </xdr:nvSpPr>
      <xdr:spPr bwMode="auto">
        <a:xfrm>
          <a:off x="4829175" y="3886200"/>
          <a:ext cx="20955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333375</xdr:colOff>
      <xdr:row>22</xdr:row>
      <xdr:rowOff>0</xdr:rowOff>
    </xdr:from>
    <xdr:to>
      <xdr:col>10</xdr:col>
      <xdr:colOff>542925</xdr:colOff>
      <xdr:row>24</xdr:row>
      <xdr:rowOff>19050</xdr:rowOff>
    </xdr:to>
    <xdr:sp macro="" textlink="">
      <xdr:nvSpPr>
        <xdr:cNvPr id="177" name="Rectangle 8">
          <a:extLst>
            <a:ext uri="{FF2B5EF4-FFF2-40B4-BE49-F238E27FC236}">
              <a16:creationId xmlns:a16="http://schemas.microsoft.com/office/drawing/2014/main" id="{2E9840FF-3D66-44DB-B712-09135237F1CE}"/>
            </a:ext>
          </a:extLst>
        </xdr:cNvPr>
        <xdr:cNvSpPr>
          <a:spLocks noChangeArrowheads="1"/>
        </xdr:cNvSpPr>
      </xdr:nvSpPr>
      <xdr:spPr bwMode="auto">
        <a:xfrm>
          <a:off x="6753225" y="3867150"/>
          <a:ext cx="209550" cy="3619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21</xdr:row>
      <xdr:rowOff>161925</xdr:rowOff>
    </xdr:from>
    <xdr:to>
      <xdr:col>11</xdr:col>
      <xdr:colOff>209550</xdr:colOff>
      <xdr:row>24</xdr:row>
      <xdr:rowOff>19050</xdr:rowOff>
    </xdr:to>
    <xdr:sp macro="" textlink="">
      <xdr:nvSpPr>
        <xdr:cNvPr id="178" name="Rectangle 9">
          <a:extLst>
            <a:ext uri="{FF2B5EF4-FFF2-40B4-BE49-F238E27FC236}">
              <a16:creationId xmlns:a16="http://schemas.microsoft.com/office/drawing/2014/main" id="{E40C8BF0-88BE-4237-90C1-4AB913462A77}"/>
            </a:ext>
          </a:extLst>
        </xdr:cNvPr>
        <xdr:cNvSpPr>
          <a:spLocks noChangeArrowheads="1"/>
        </xdr:cNvSpPr>
      </xdr:nvSpPr>
      <xdr:spPr bwMode="auto">
        <a:xfrm>
          <a:off x="7096125" y="3857625"/>
          <a:ext cx="209550" cy="371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447675</xdr:colOff>
      <xdr:row>23</xdr:row>
      <xdr:rowOff>152400</xdr:rowOff>
    </xdr:from>
    <xdr:to>
      <xdr:col>5</xdr:col>
      <xdr:colOff>657225</xdr:colOff>
      <xdr:row>23</xdr:row>
      <xdr:rowOff>161925</xdr:rowOff>
    </xdr:to>
    <xdr:sp macro="" textlink="">
      <xdr:nvSpPr>
        <xdr:cNvPr id="179" name="Line 10">
          <a:extLst>
            <a:ext uri="{FF2B5EF4-FFF2-40B4-BE49-F238E27FC236}">
              <a16:creationId xmlns:a16="http://schemas.microsoft.com/office/drawing/2014/main" id="{22ADFA94-7D7A-4D3B-97EC-71F80A6C980D}"/>
            </a:ext>
          </a:extLst>
        </xdr:cNvPr>
        <xdr:cNvSpPr>
          <a:spLocks noChangeShapeType="1"/>
        </xdr:cNvSpPr>
      </xdr:nvSpPr>
      <xdr:spPr bwMode="auto">
        <a:xfrm flipV="1">
          <a:off x="3390900" y="4191000"/>
          <a:ext cx="209550" cy="95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200025</xdr:colOff>
      <xdr:row>23</xdr:row>
      <xdr:rowOff>133350</xdr:rowOff>
    </xdr:from>
    <xdr:to>
      <xdr:col>6</xdr:col>
      <xdr:colOff>352425</xdr:colOff>
      <xdr:row>27</xdr:row>
      <xdr:rowOff>123825</xdr:rowOff>
    </xdr:to>
    <xdr:sp macro="" textlink="">
      <xdr:nvSpPr>
        <xdr:cNvPr id="180" name="Freeform 11">
          <a:extLst>
            <a:ext uri="{FF2B5EF4-FFF2-40B4-BE49-F238E27FC236}">
              <a16:creationId xmlns:a16="http://schemas.microsoft.com/office/drawing/2014/main" id="{356A4563-7E6A-4621-B0B3-7D229822A33A}"/>
            </a:ext>
          </a:extLst>
        </xdr:cNvPr>
        <xdr:cNvSpPr>
          <a:spLocks noChangeArrowheads="1"/>
        </xdr:cNvSpPr>
      </xdr:nvSpPr>
      <xdr:spPr bwMode="auto">
        <a:xfrm>
          <a:off x="3914775" y="4171950"/>
          <a:ext cx="152400" cy="676275"/>
        </a:xfrm>
        <a:custGeom>
          <a:avLst/>
          <a:gdLst>
            <a:gd name="T0" fmla="*/ 0 w 16"/>
            <a:gd name="T1" fmla="*/ 2147483646 h 108"/>
            <a:gd name="T2" fmla="*/ 2147483646 w 16"/>
            <a:gd name="T3" fmla="*/ 2147483646 h 108"/>
            <a:gd name="T4" fmla="*/ 2147483646 w 16"/>
            <a:gd name="T5" fmla="*/ 2147483646 h 108"/>
            <a:gd name="T6" fmla="*/ 2147483646 w 16"/>
            <a:gd name="T7" fmla="*/ 2147483646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390525</xdr:colOff>
      <xdr:row>24</xdr:row>
      <xdr:rowOff>28575</xdr:rowOff>
    </xdr:from>
    <xdr:to>
      <xdr:col>6</xdr:col>
      <xdr:colOff>466725</xdr:colOff>
      <xdr:row>27</xdr:row>
      <xdr:rowOff>171450</xdr:rowOff>
    </xdr:to>
    <xdr:sp macro="" textlink="">
      <xdr:nvSpPr>
        <xdr:cNvPr id="181" name="Freeform 12">
          <a:extLst>
            <a:ext uri="{FF2B5EF4-FFF2-40B4-BE49-F238E27FC236}">
              <a16:creationId xmlns:a16="http://schemas.microsoft.com/office/drawing/2014/main" id="{9F875ECB-4D20-49EA-BCF0-509172DFDBC5}"/>
            </a:ext>
          </a:extLst>
        </xdr:cNvPr>
        <xdr:cNvSpPr>
          <a:spLocks noChangeArrowheads="1"/>
        </xdr:cNvSpPr>
      </xdr:nvSpPr>
      <xdr:spPr bwMode="auto">
        <a:xfrm>
          <a:off x="4105275" y="4238625"/>
          <a:ext cx="76200" cy="657225"/>
        </a:xfrm>
        <a:custGeom>
          <a:avLst/>
          <a:gdLst>
            <a:gd name="T0" fmla="*/ 2147483646 w 6"/>
            <a:gd name="T1" fmla="*/ 0 h 56"/>
            <a:gd name="T2" fmla="*/ 2147483646 w 6"/>
            <a:gd name="T3" fmla="*/ 2147483646 h 56"/>
            <a:gd name="T4" fmla="*/ 0 w 6"/>
            <a:gd name="T5" fmla="*/ 2147483646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190500</xdr:colOff>
      <xdr:row>22</xdr:row>
      <xdr:rowOff>123825</xdr:rowOff>
    </xdr:from>
    <xdr:to>
      <xdr:col>10</xdr:col>
      <xdr:colOff>171450</xdr:colOff>
      <xdr:row>24</xdr:row>
      <xdr:rowOff>9525</xdr:rowOff>
    </xdr:to>
    <xdr:sp macro="" textlink="">
      <xdr:nvSpPr>
        <xdr:cNvPr id="182" name="Freeform 13">
          <a:extLst>
            <a:ext uri="{FF2B5EF4-FFF2-40B4-BE49-F238E27FC236}">
              <a16:creationId xmlns:a16="http://schemas.microsoft.com/office/drawing/2014/main" id="{F41973F5-2E8B-43AB-A620-DC54D1584F19}"/>
            </a:ext>
          </a:extLst>
        </xdr:cNvPr>
        <xdr:cNvSpPr>
          <a:spLocks noChangeArrowheads="1"/>
        </xdr:cNvSpPr>
      </xdr:nvSpPr>
      <xdr:spPr bwMode="auto">
        <a:xfrm>
          <a:off x="5257800" y="3990975"/>
          <a:ext cx="1333500" cy="228600"/>
        </a:xfrm>
        <a:custGeom>
          <a:avLst/>
          <a:gdLst>
            <a:gd name="T0" fmla="*/ 0 w 142"/>
            <a:gd name="T1" fmla="*/ 2147483646 h 25"/>
            <a:gd name="T2" fmla="*/ 2147483646 w 142"/>
            <a:gd name="T3" fmla="*/ 2147483646 h 25"/>
            <a:gd name="T4" fmla="*/ 2147483646 w 142"/>
            <a:gd name="T5" fmla="*/ 2147483646 h 25"/>
            <a:gd name="T6" fmla="*/ 2147483646 w 142"/>
            <a:gd name="T7" fmla="*/ 2147483646 h 25"/>
            <a:gd name="T8" fmla="*/ 2147483646 w 142"/>
            <a:gd name="T9" fmla="*/ 2147483646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180975</xdr:colOff>
      <xdr:row>14</xdr:row>
      <xdr:rowOff>85725</xdr:rowOff>
    </xdr:from>
    <xdr:to>
      <xdr:col>7</xdr:col>
      <xdr:colOff>114300</xdr:colOff>
      <xdr:row>14</xdr:row>
      <xdr:rowOff>85725</xdr:rowOff>
    </xdr:to>
    <xdr:sp macro="" textlink="">
      <xdr:nvSpPr>
        <xdr:cNvPr id="183" name="Line 14">
          <a:extLst>
            <a:ext uri="{FF2B5EF4-FFF2-40B4-BE49-F238E27FC236}">
              <a16:creationId xmlns:a16="http://schemas.microsoft.com/office/drawing/2014/main" id="{D305436A-10EC-4E05-A3F2-1DE390635DD5}"/>
            </a:ext>
          </a:extLst>
        </xdr:cNvPr>
        <xdr:cNvSpPr>
          <a:spLocks noChangeShapeType="1"/>
        </xdr:cNvSpPr>
      </xdr:nvSpPr>
      <xdr:spPr bwMode="auto">
        <a:xfrm>
          <a:off x="3895725" y="258127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190500</xdr:colOff>
      <xdr:row>16</xdr:row>
      <xdr:rowOff>104775</xdr:rowOff>
    </xdr:from>
    <xdr:to>
      <xdr:col>7</xdr:col>
      <xdr:colOff>123825</xdr:colOff>
      <xdr:row>16</xdr:row>
      <xdr:rowOff>104775</xdr:rowOff>
    </xdr:to>
    <xdr:sp macro="" textlink="">
      <xdr:nvSpPr>
        <xdr:cNvPr id="184" name="Line 15">
          <a:extLst>
            <a:ext uri="{FF2B5EF4-FFF2-40B4-BE49-F238E27FC236}">
              <a16:creationId xmlns:a16="http://schemas.microsoft.com/office/drawing/2014/main" id="{69A5ACA6-1E67-465D-8D91-6F34489CAF8C}"/>
            </a:ext>
          </a:extLst>
        </xdr:cNvPr>
        <xdr:cNvSpPr>
          <a:spLocks noChangeShapeType="1"/>
        </xdr:cNvSpPr>
      </xdr:nvSpPr>
      <xdr:spPr bwMode="auto">
        <a:xfrm>
          <a:off x="3905250" y="294322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171450</xdr:colOff>
      <xdr:row>15</xdr:row>
      <xdr:rowOff>104775</xdr:rowOff>
    </xdr:from>
    <xdr:to>
      <xdr:col>7</xdr:col>
      <xdr:colOff>104775</xdr:colOff>
      <xdr:row>15</xdr:row>
      <xdr:rowOff>104775</xdr:rowOff>
    </xdr:to>
    <xdr:sp macro="" textlink="">
      <xdr:nvSpPr>
        <xdr:cNvPr id="185" name="Line 16">
          <a:extLst>
            <a:ext uri="{FF2B5EF4-FFF2-40B4-BE49-F238E27FC236}">
              <a16:creationId xmlns:a16="http://schemas.microsoft.com/office/drawing/2014/main" id="{F5099F22-00DE-4834-990A-935D6562A0A4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180975</xdr:colOff>
      <xdr:row>17</xdr:row>
      <xdr:rowOff>95250</xdr:rowOff>
    </xdr:from>
    <xdr:to>
      <xdr:col>7</xdr:col>
      <xdr:colOff>114300</xdr:colOff>
      <xdr:row>17</xdr:row>
      <xdr:rowOff>95250</xdr:rowOff>
    </xdr:to>
    <xdr:sp macro="" textlink="">
      <xdr:nvSpPr>
        <xdr:cNvPr id="186" name="Line 17">
          <a:extLst>
            <a:ext uri="{FF2B5EF4-FFF2-40B4-BE49-F238E27FC236}">
              <a16:creationId xmlns:a16="http://schemas.microsoft.com/office/drawing/2014/main" id="{28B140DB-5A0E-46A4-8101-40EE6A8416C4}"/>
            </a:ext>
          </a:extLst>
        </xdr:cNvPr>
        <xdr:cNvSpPr>
          <a:spLocks noChangeShapeType="1"/>
        </xdr:cNvSpPr>
      </xdr:nvSpPr>
      <xdr:spPr bwMode="auto">
        <a:xfrm>
          <a:off x="3895725" y="310515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8</xdr:row>
      <xdr:rowOff>104775</xdr:rowOff>
    </xdr:from>
    <xdr:to>
      <xdr:col>7</xdr:col>
      <xdr:colOff>647700</xdr:colOff>
      <xdr:row>8</xdr:row>
      <xdr:rowOff>104775</xdr:rowOff>
    </xdr:to>
    <xdr:sp macro="" textlink="">
      <xdr:nvSpPr>
        <xdr:cNvPr id="187" name="Line 18">
          <a:extLst>
            <a:ext uri="{FF2B5EF4-FFF2-40B4-BE49-F238E27FC236}">
              <a16:creationId xmlns:a16="http://schemas.microsoft.com/office/drawing/2014/main" id="{2E10E4F1-24E7-4CB7-83D5-ED8DB100275C}"/>
            </a:ext>
          </a:extLst>
        </xdr:cNvPr>
        <xdr:cNvSpPr>
          <a:spLocks noChangeShapeType="1"/>
        </xdr:cNvSpPr>
      </xdr:nvSpPr>
      <xdr:spPr bwMode="auto">
        <a:xfrm flipH="1">
          <a:off x="4419600" y="1571625"/>
          <a:ext cx="619125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8</xdr:row>
      <xdr:rowOff>85725</xdr:rowOff>
    </xdr:from>
    <xdr:to>
      <xdr:col>10</xdr:col>
      <xdr:colOff>9525</xdr:colOff>
      <xdr:row>8</xdr:row>
      <xdr:rowOff>85725</xdr:rowOff>
    </xdr:to>
    <xdr:sp macro="" textlink="">
      <xdr:nvSpPr>
        <xdr:cNvPr id="188" name="Line 19">
          <a:extLst>
            <a:ext uri="{FF2B5EF4-FFF2-40B4-BE49-F238E27FC236}">
              <a16:creationId xmlns:a16="http://schemas.microsoft.com/office/drawing/2014/main" id="{CF5D40AE-A8E5-40A5-83EB-BF0CC3CDDC14}"/>
            </a:ext>
          </a:extLst>
        </xdr:cNvPr>
        <xdr:cNvSpPr>
          <a:spLocks noChangeShapeType="1"/>
        </xdr:cNvSpPr>
      </xdr:nvSpPr>
      <xdr:spPr bwMode="auto">
        <a:xfrm flipH="1">
          <a:off x="5819775" y="155257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314325</xdr:colOff>
      <xdr:row>8</xdr:row>
      <xdr:rowOff>104775</xdr:rowOff>
    </xdr:from>
    <xdr:to>
      <xdr:col>12</xdr:col>
      <xdr:colOff>247650</xdr:colOff>
      <xdr:row>8</xdr:row>
      <xdr:rowOff>104775</xdr:rowOff>
    </xdr:to>
    <xdr:sp macro="" textlink="">
      <xdr:nvSpPr>
        <xdr:cNvPr id="189" name="Line 20">
          <a:extLst>
            <a:ext uri="{FF2B5EF4-FFF2-40B4-BE49-F238E27FC236}">
              <a16:creationId xmlns:a16="http://schemas.microsoft.com/office/drawing/2014/main" id="{DDF05290-D26D-48DF-933B-E44307321D51}"/>
            </a:ext>
          </a:extLst>
        </xdr:cNvPr>
        <xdr:cNvSpPr>
          <a:spLocks noChangeShapeType="1"/>
        </xdr:cNvSpPr>
      </xdr:nvSpPr>
      <xdr:spPr bwMode="auto">
        <a:xfrm flipH="1">
          <a:off x="7410450" y="157162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66675</xdr:colOff>
      <xdr:row>14</xdr:row>
      <xdr:rowOff>95250</xdr:rowOff>
    </xdr:from>
    <xdr:to>
      <xdr:col>10</xdr:col>
      <xdr:colOff>0</xdr:colOff>
      <xdr:row>14</xdr:row>
      <xdr:rowOff>95250</xdr:rowOff>
    </xdr:to>
    <xdr:sp macro="" textlink="">
      <xdr:nvSpPr>
        <xdr:cNvPr id="190" name="Line 21">
          <a:extLst>
            <a:ext uri="{FF2B5EF4-FFF2-40B4-BE49-F238E27FC236}">
              <a16:creationId xmlns:a16="http://schemas.microsoft.com/office/drawing/2014/main" id="{2CEDF5FC-4BBC-4584-AAC7-9B333692B9C3}"/>
            </a:ext>
          </a:extLst>
        </xdr:cNvPr>
        <xdr:cNvSpPr>
          <a:spLocks noChangeShapeType="1"/>
        </xdr:cNvSpPr>
      </xdr:nvSpPr>
      <xdr:spPr bwMode="auto">
        <a:xfrm>
          <a:off x="5810250" y="259080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16</xdr:row>
      <xdr:rowOff>114300</xdr:rowOff>
    </xdr:from>
    <xdr:to>
      <xdr:col>10</xdr:col>
      <xdr:colOff>9525</xdr:colOff>
      <xdr:row>16</xdr:row>
      <xdr:rowOff>114300</xdr:rowOff>
    </xdr:to>
    <xdr:sp macro="" textlink="">
      <xdr:nvSpPr>
        <xdr:cNvPr id="191" name="Line 22">
          <a:extLst>
            <a:ext uri="{FF2B5EF4-FFF2-40B4-BE49-F238E27FC236}">
              <a16:creationId xmlns:a16="http://schemas.microsoft.com/office/drawing/2014/main" id="{208422FD-B92B-467E-A69B-652AAD7945D4}"/>
            </a:ext>
          </a:extLst>
        </xdr:cNvPr>
        <xdr:cNvSpPr>
          <a:spLocks noChangeShapeType="1"/>
        </xdr:cNvSpPr>
      </xdr:nvSpPr>
      <xdr:spPr bwMode="auto">
        <a:xfrm>
          <a:off x="5819775" y="295275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66675</xdr:colOff>
      <xdr:row>15</xdr:row>
      <xdr:rowOff>114300</xdr:rowOff>
    </xdr:from>
    <xdr:to>
      <xdr:col>10</xdr:col>
      <xdr:colOff>0</xdr:colOff>
      <xdr:row>15</xdr:row>
      <xdr:rowOff>114300</xdr:rowOff>
    </xdr:to>
    <xdr:sp macro="" textlink="">
      <xdr:nvSpPr>
        <xdr:cNvPr id="192" name="Line 23">
          <a:extLst>
            <a:ext uri="{FF2B5EF4-FFF2-40B4-BE49-F238E27FC236}">
              <a16:creationId xmlns:a16="http://schemas.microsoft.com/office/drawing/2014/main" id="{1E73A70C-8793-47E9-90DD-0E95E38579A6}"/>
            </a:ext>
          </a:extLst>
        </xdr:cNvPr>
        <xdr:cNvSpPr>
          <a:spLocks noChangeShapeType="1"/>
        </xdr:cNvSpPr>
      </xdr:nvSpPr>
      <xdr:spPr bwMode="auto">
        <a:xfrm>
          <a:off x="5810250" y="278130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17</xdr:row>
      <xdr:rowOff>95250</xdr:rowOff>
    </xdr:from>
    <xdr:to>
      <xdr:col>10</xdr:col>
      <xdr:colOff>9525</xdr:colOff>
      <xdr:row>17</xdr:row>
      <xdr:rowOff>95250</xdr:rowOff>
    </xdr:to>
    <xdr:sp macro="" textlink="">
      <xdr:nvSpPr>
        <xdr:cNvPr id="193" name="Line 24">
          <a:extLst>
            <a:ext uri="{FF2B5EF4-FFF2-40B4-BE49-F238E27FC236}">
              <a16:creationId xmlns:a16="http://schemas.microsoft.com/office/drawing/2014/main" id="{0DB81B17-E400-4D77-920E-A39D167DE6F3}"/>
            </a:ext>
          </a:extLst>
        </xdr:cNvPr>
        <xdr:cNvSpPr>
          <a:spLocks noChangeShapeType="1"/>
        </xdr:cNvSpPr>
      </xdr:nvSpPr>
      <xdr:spPr bwMode="auto">
        <a:xfrm>
          <a:off x="5819775" y="310515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133350</xdr:colOff>
      <xdr:row>17</xdr:row>
      <xdr:rowOff>38100</xdr:rowOff>
    </xdr:from>
    <xdr:to>
      <xdr:col>7</xdr:col>
      <xdr:colOff>657225</xdr:colOff>
      <xdr:row>19</xdr:row>
      <xdr:rowOff>152400</xdr:rowOff>
    </xdr:to>
    <xdr:sp macro="" textlink="">
      <xdr:nvSpPr>
        <xdr:cNvPr id="194" name="AutoShape 25">
          <a:extLst>
            <a:ext uri="{FF2B5EF4-FFF2-40B4-BE49-F238E27FC236}">
              <a16:creationId xmlns:a16="http://schemas.microsoft.com/office/drawing/2014/main" id="{B7C08CD7-2639-47A5-B51F-68077FBCA586}"/>
            </a:ext>
          </a:extLst>
        </xdr:cNvPr>
        <xdr:cNvSpPr>
          <a:spLocks noChangeArrowheads="1"/>
        </xdr:cNvSpPr>
      </xdr:nvSpPr>
      <xdr:spPr bwMode="auto">
        <a:xfrm>
          <a:off x="4524375" y="3048000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238125</xdr:colOff>
      <xdr:row>17</xdr:row>
      <xdr:rowOff>28575</xdr:rowOff>
    </xdr:from>
    <xdr:to>
      <xdr:col>12</xdr:col>
      <xdr:colOff>76200</xdr:colOff>
      <xdr:row>19</xdr:row>
      <xdr:rowOff>142875</xdr:rowOff>
    </xdr:to>
    <xdr:sp macro="" textlink="">
      <xdr:nvSpPr>
        <xdr:cNvPr id="195" name="AutoShape 26">
          <a:extLst>
            <a:ext uri="{FF2B5EF4-FFF2-40B4-BE49-F238E27FC236}">
              <a16:creationId xmlns:a16="http://schemas.microsoft.com/office/drawing/2014/main" id="{56B106E1-6A80-40A2-981E-E55E262EBBFF}"/>
            </a:ext>
          </a:extLst>
        </xdr:cNvPr>
        <xdr:cNvSpPr>
          <a:spLocks noChangeArrowheads="1"/>
        </xdr:cNvSpPr>
      </xdr:nvSpPr>
      <xdr:spPr bwMode="auto">
        <a:xfrm>
          <a:off x="7334250" y="3038475"/>
          <a:ext cx="51435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104775</xdr:colOff>
      <xdr:row>17</xdr:row>
      <xdr:rowOff>38100</xdr:rowOff>
    </xdr:from>
    <xdr:to>
      <xdr:col>10</xdr:col>
      <xdr:colOff>561975</xdr:colOff>
      <xdr:row>20</xdr:row>
      <xdr:rowOff>47625</xdr:rowOff>
    </xdr:to>
    <xdr:sp macro="" textlink="">
      <xdr:nvSpPr>
        <xdr:cNvPr id="196" name="AutoShape 27">
          <a:extLst>
            <a:ext uri="{FF2B5EF4-FFF2-40B4-BE49-F238E27FC236}">
              <a16:creationId xmlns:a16="http://schemas.microsoft.com/office/drawing/2014/main" id="{4EAE7AAD-FEB3-4177-A016-1B6FFECD7DBD}"/>
            </a:ext>
          </a:extLst>
        </xdr:cNvPr>
        <xdr:cNvSpPr>
          <a:spLocks noChangeArrowheads="1"/>
        </xdr:cNvSpPr>
      </xdr:nvSpPr>
      <xdr:spPr bwMode="auto">
        <a:xfrm rot="5400000">
          <a:off x="64912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104775</xdr:colOff>
      <xdr:row>17</xdr:row>
      <xdr:rowOff>38100</xdr:rowOff>
    </xdr:from>
    <xdr:to>
      <xdr:col>6</xdr:col>
      <xdr:colOff>561975</xdr:colOff>
      <xdr:row>20</xdr:row>
      <xdr:rowOff>47625</xdr:rowOff>
    </xdr:to>
    <xdr:sp macro="" textlink="">
      <xdr:nvSpPr>
        <xdr:cNvPr id="197" name="AutoShape 28">
          <a:extLst>
            <a:ext uri="{FF2B5EF4-FFF2-40B4-BE49-F238E27FC236}">
              <a16:creationId xmlns:a16="http://schemas.microsoft.com/office/drawing/2014/main" id="{5907E201-2542-49C6-912F-2BCBE2F935A4}"/>
            </a:ext>
          </a:extLst>
        </xdr:cNvPr>
        <xdr:cNvSpPr>
          <a:spLocks noChangeArrowheads="1"/>
        </xdr:cNvSpPr>
      </xdr:nvSpPr>
      <xdr:spPr bwMode="auto">
        <a:xfrm rot="5400000">
          <a:off x="3786187" y="3081338"/>
          <a:ext cx="523875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133350</xdr:colOff>
      <xdr:row>6</xdr:row>
      <xdr:rowOff>114300</xdr:rowOff>
    </xdr:from>
    <xdr:to>
      <xdr:col>0</xdr:col>
      <xdr:colOff>523875</xdr:colOff>
      <xdr:row>19</xdr:row>
      <xdr:rowOff>85725</xdr:rowOff>
    </xdr:to>
    <xdr:sp macro="" textlink="" fLocksText="0">
      <xdr:nvSpPr>
        <xdr:cNvPr id="198" name="Text Box 29">
          <a:extLst>
            <a:ext uri="{FF2B5EF4-FFF2-40B4-BE49-F238E27FC236}">
              <a16:creationId xmlns:a16="http://schemas.microsoft.com/office/drawing/2014/main" id="{72636466-0D1A-44F8-BA16-1325E088F2AC}"/>
            </a:ext>
          </a:extLst>
        </xdr:cNvPr>
        <xdr:cNvSpPr txBox="1">
          <a:spLocks noChangeArrowheads="1"/>
        </xdr:cNvSpPr>
      </xdr:nvSpPr>
      <xdr:spPr bwMode="auto">
        <a:xfrm>
          <a:off x="133350" y="1238250"/>
          <a:ext cx="390525" cy="2200275"/>
        </a:xfrm>
        <a:prstGeom prst="rect">
          <a:avLst/>
        </a:prstGeom>
        <a:solidFill>
          <a:srgbClr val="FFFFFF"/>
        </a:solidFill>
        <a:ln w="5724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0" rIns="36360" bIns="0" anchor="ctr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１１００ｍ折り返し地点から上流は航行禁止</a:t>
          </a:r>
        </a:p>
      </xdr:txBody>
    </xdr:sp>
    <xdr:clientData/>
  </xdr:twoCellAnchor>
  <xdr:twoCellAnchor>
    <xdr:from>
      <xdr:col>13</xdr:col>
      <xdr:colOff>400050</xdr:colOff>
      <xdr:row>9</xdr:row>
      <xdr:rowOff>123825</xdr:rowOff>
    </xdr:from>
    <xdr:to>
      <xdr:col>14</xdr:col>
      <xdr:colOff>219075</xdr:colOff>
      <xdr:row>16</xdr:row>
      <xdr:rowOff>85725</xdr:rowOff>
    </xdr:to>
    <xdr:sp macro="" textlink="">
      <xdr:nvSpPr>
        <xdr:cNvPr id="199" name="AutoShape 30">
          <a:extLst>
            <a:ext uri="{FF2B5EF4-FFF2-40B4-BE49-F238E27FC236}">
              <a16:creationId xmlns:a16="http://schemas.microsoft.com/office/drawing/2014/main" id="{AC7A22CA-6B3A-4A36-8224-674CFD5DB0C9}"/>
            </a:ext>
          </a:extLst>
        </xdr:cNvPr>
        <xdr:cNvSpPr>
          <a:spLocks noChangeArrowheads="1"/>
        </xdr:cNvSpPr>
      </xdr:nvSpPr>
      <xdr:spPr bwMode="auto">
        <a:xfrm rot="-5520000">
          <a:off x="8515350" y="2095500"/>
          <a:ext cx="1162050" cy="495300"/>
        </a:xfrm>
        <a:prstGeom prst="curvedUpArrow">
          <a:avLst>
            <a:gd name="adj1" fmla="val 46038"/>
            <a:gd name="adj2" fmla="val 92075"/>
            <a:gd name="adj3" fmla="val 41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9</xdr:row>
      <xdr:rowOff>47625</xdr:rowOff>
    </xdr:from>
    <xdr:to>
      <xdr:col>5</xdr:col>
      <xdr:colOff>247650</xdr:colOff>
      <xdr:row>16</xdr:row>
      <xdr:rowOff>57150</xdr:rowOff>
    </xdr:to>
    <xdr:sp macro="" textlink="">
      <xdr:nvSpPr>
        <xdr:cNvPr id="200" name="AutoShape 31">
          <a:extLst>
            <a:ext uri="{FF2B5EF4-FFF2-40B4-BE49-F238E27FC236}">
              <a16:creationId xmlns:a16="http://schemas.microsoft.com/office/drawing/2014/main" id="{83F1218F-515F-4286-A23A-8DFBEA9F475C}"/>
            </a:ext>
          </a:extLst>
        </xdr:cNvPr>
        <xdr:cNvSpPr>
          <a:spLocks noChangeArrowheads="1"/>
        </xdr:cNvSpPr>
      </xdr:nvSpPr>
      <xdr:spPr bwMode="auto">
        <a:xfrm rot="5400000">
          <a:off x="2466975" y="2171700"/>
          <a:ext cx="1209675" cy="238125"/>
        </a:xfrm>
        <a:prstGeom prst="curvedUpArrow">
          <a:avLst>
            <a:gd name="adj1" fmla="val 69286"/>
            <a:gd name="adj2" fmla="val 203200"/>
            <a:gd name="adj3" fmla="val 74236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47625</xdr:colOff>
      <xdr:row>22</xdr:row>
      <xdr:rowOff>161925</xdr:rowOff>
    </xdr:from>
    <xdr:to>
      <xdr:col>2</xdr:col>
      <xdr:colOff>666750</xdr:colOff>
      <xdr:row>22</xdr:row>
      <xdr:rowOff>171450</xdr:rowOff>
    </xdr:to>
    <xdr:sp macro="" textlink="">
      <xdr:nvSpPr>
        <xdr:cNvPr id="201" name="Line 32">
          <a:extLst>
            <a:ext uri="{FF2B5EF4-FFF2-40B4-BE49-F238E27FC236}">
              <a16:creationId xmlns:a16="http://schemas.microsoft.com/office/drawing/2014/main" id="{E62E7F32-EF6B-4DD0-8220-4296D853A546}"/>
            </a:ext>
          </a:extLst>
        </xdr:cNvPr>
        <xdr:cNvSpPr>
          <a:spLocks noChangeShapeType="1"/>
        </xdr:cNvSpPr>
      </xdr:nvSpPr>
      <xdr:spPr bwMode="auto">
        <a:xfrm flipV="1">
          <a:off x="723900" y="4029075"/>
          <a:ext cx="1295400" cy="95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676275</xdr:colOff>
      <xdr:row>21</xdr:row>
      <xdr:rowOff>104775</xdr:rowOff>
    </xdr:from>
    <xdr:to>
      <xdr:col>5</xdr:col>
      <xdr:colOff>428625</xdr:colOff>
      <xdr:row>23</xdr:row>
      <xdr:rowOff>161925</xdr:rowOff>
    </xdr:to>
    <xdr:sp macro="" textlink="">
      <xdr:nvSpPr>
        <xdr:cNvPr id="202" name="Freeform 33">
          <a:extLst>
            <a:ext uri="{FF2B5EF4-FFF2-40B4-BE49-F238E27FC236}">
              <a16:creationId xmlns:a16="http://schemas.microsoft.com/office/drawing/2014/main" id="{7B79F5EC-F656-4619-BBDE-F12605167407}"/>
            </a:ext>
          </a:extLst>
        </xdr:cNvPr>
        <xdr:cNvSpPr>
          <a:spLocks noChangeArrowheads="1"/>
        </xdr:cNvSpPr>
      </xdr:nvSpPr>
      <xdr:spPr bwMode="auto">
        <a:xfrm>
          <a:off x="2028825" y="3800475"/>
          <a:ext cx="1343025" cy="400050"/>
        </a:xfrm>
        <a:custGeom>
          <a:avLst/>
          <a:gdLst>
            <a:gd name="T0" fmla="*/ 0 w 118"/>
            <a:gd name="T1" fmla="*/ 2147483646 h 42"/>
            <a:gd name="T2" fmla="*/ 2147483646 w 118"/>
            <a:gd name="T3" fmla="*/ 2147483646 h 42"/>
            <a:gd name="T4" fmla="*/ 2147483646 w 118"/>
            <a:gd name="T5" fmla="*/ 2147483646 h 42"/>
            <a:gd name="T6" fmla="*/ 2147483646 w 118"/>
            <a:gd name="T7" fmla="*/ 2147483646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5</xdr:row>
      <xdr:rowOff>57150</xdr:rowOff>
    </xdr:from>
    <xdr:to>
      <xdr:col>10</xdr:col>
      <xdr:colOff>552450</xdr:colOff>
      <xdr:row>7</xdr:row>
      <xdr:rowOff>114300</xdr:rowOff>
    </xdr:to>
    <xdr:sp macro="" textlink="">
      <xdr:nvSpPr>
        <xdr:cNvPr id="203" name="Line 34">
          <a:extLst>
            <a:ext uri="{FF2B5EF4-FFF2-40B4-BE49-F238E27FC236}">
              <a16:creationId xmlns:a16="http://schemas.microsoft.com/office/drawing/2014/main" id="{EE226C3B-1207-4636-B5BE-3A37EF08C357}"/>
            </a:ext>
          </a:extLst>
        </xdr:cNvPr>
        <xdr:cNvSpPr>
          <a:spLocks noChangeShapeType="1"/>
        </xdr:cNvSpPr>
      </xdr:nvSpPr>
      <xdr:spPr bwMode="auto">
        <a:xfrm flipV="1">
          <a:off x="695325" y="1009650"/>
          <a:ext cx="6276975" cy="400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533400</xdr:colOff>
      <xdr:row>1</xdr:row>
      <xdr:rowOff>28575</xdr:rowOff>
    </xdr:from>
    <xdr:to>
      <xdr:col>11</xdr:col>
      <xdr:colOff>228600</xdr:colOff>
      <xdr:row>5</xdr:row>
      <xdr:rowOff>57150</xdr:rowOff>
    </xdr:to>
    <xdr:sp macro="" textlink="">
      <xdr:nvSpPr>
        <xdr:cNvPr id="204" name="Freeform 35">
          <a:extLst>
            <a:ext uri="{FF2B5EF4-FFF2-40B4-BE49-F238E27FC236}">
              <a16:creationId xmlns:a16="http://schemas.microsoft.com/office/drawing/2014/main" id="{F76547A5-4741-48F6-A045-8DDDF7C77F77}"/>
            </a:ext>
          </a:extLst>
        </xdr:cNvPr>
        <xdr:cNvSpPr>
          <a:spLocks noChangeArrowheads="1"/>
        </xdr:cNvSpPr>
      </xdr:nvSpPr>
      <xdr:spPr bwMode="auto">
        <a:xfrm>
          <a:off x="6953250" y="295275"/>
          <a:ext cx="371475" cy="714375"/>
        </a:xfrm>
        <a:custGeom>
          <a:avLst/>
          <a:gdLst>
            <a:gd name="T0" fmla="*/ 0 w 40"/>
            <a:gd name="T1" fmla="*/ 2147483646 h 59"/>
            <a:gd name="T2" fmla="*/ 2147483646 w 40"/>
            <a:gd name="T3" fmla="*/ 2147483646 h 59"/>
            <a:gd name="T4" fmla="*/ 2147483646 w 40"/>
            <a:gd name="T5" fmla="*/ 2147483646 h 59"/>
            <a:gd name="T6" fmla="*/ 2147483646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333375</xdr:colOff>
      <xdr:row>2</xdr:row>
      <xdr:rowOff>123825</xdr:rowOff>
    </xdr:from>
    <xdr:to>
      <xdr:col>13</xdr:col>
      <xdr:colOff>114300</xdr:colOff>
      <xdr:row>5</xdr:row>
      <xdr:rowOff>9525</xdr:rowOff>
    </xdr:to>
    <xdr:sp macro="" textlink="" fLocksText="0">
      <xdr:nvSpPr>
        <xdr:cNvPr id="205" name="Text Box 36">
          <a:extLst>
            <a:ext uri="{FF2B5EF4-FFF2-40B4-BE49-F238E27FC236}">
              <a16:creationId xmlns:a16="http://schemas.microsoft.com/office/drawing/2014/main" id="{14EA4F43-5DA7-4849-86A3-AFE179021476}"/>
            </a:ext>
          </a:extLst>
        </xdr:cNvPr>
        <xdr:cNvSpPr txBox="1">
          <a:spLocks noChangeArrowheads="1"/>
        </xdr:cNvSpPr>
      </xdr:nvSpPr>
      <xdr:spPr bwMode="auto">
        <a:xfrm>
          <a:off x="7429500" y="561975"/>
          <a:ext cx="1133475" cy="400050"/>
        </a:xfrm>
        <a:prstGeom prst="rect">
          <a:avLst/>
        </a:prstGeom>
        <a:solidFill>
          <a:srgbClr val="FFFFFF"/>
        </a:solidFill>
        <a:ln w="5724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練習水域は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使用禁止</a:t>
          </a:r>
        </a:p>
      </xdr:txBody>
    </xdr:sp>
    <xdr:clientData/>
  </xdr:twoCellAnchor>
  <xdr:twoCellAnchor>
    <xdr:from>
      <xdr:col>13</xdr:col>
      <xdr:colOff>609600</xdr:colOff>
      <xdr:row>17</xdr:row>
      <xdr:rowOff>57150</xdr:rowOff>
    </xdr:from>
    <xdr:to>
      <xdr:col>15</xdr:col>
      <xdr:colOff>657225</xdr:colOff>
      <xdr:row>23</xdr:row>
      <xdr:rowOff>114300</xdr:rowOff>
    </xdr:to>
    <xdr:sp macro="" textlink="" fLocksText="0">
      <xdr:nvSpPr>
        <xdr:cNvPr id="206" name="AutoShape 37">
          <a:extLst>
            <a:ext uri="{FF2B5EF4-FFF2-40B4-BE49-F238E27FC236}">
              <a16:creationId xmlns:a16="http://schemas.microsoft.com/office/drawing/2014/main" id="{4096E248-CC04-4CB4-BEB8-883A9C62DCA6}"/>
            </a:ext>
          </a:extLst>
        </xdr:cNvPr>
        <xdr:cNvSpPr>
          <a:spLocks noChangeArrowheads="1"/>
        </xdr:cNvSpPr>
      </xdr:nvSpPr>
      <xdr:spPr bwMode="auto">
        <a:xfrm>
          <a:off x="9058275" y="3067050"/>
          <a:ext cx="1400175" cy="1085850"/>
        </a:xfrm>
        <a:prstGeom prst="wedgeRoundRectCallout">
          <a:avLst>
            <a:gd name="adj1" fmla="val -22481"/>
            <a:gd name="adj2" fmla="val -97824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ゴール後の水域が狭いので、すみやかに折り返すこと。その際は後続の艇の接近に注意する。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114300</xdr:colOff>
      <xdr:row>6</xdr:row>
      <xdr:rowOff>161925</xdr:rowOff>
    </xdr:from>
    <xdr:to>
      <xdr:col>14</xdr:col>
      <xdr:colOff>438150</xdr:colOff>
      <xdr:row>9</xdr:row>
      <xdr:rowOff>85725</xdr:rowOff>
    </xdr:to>
    <xdr:sp macro="" textlink="" fLocksText="0">
      <xdr:nvSpPr>
        <xdr:cNvPr id="207" name="AutoShape 38">
          <a:extLst>
            <a:ext uri="{FF2B5EF4-FFF2-40B4-BE49-F238E27FC236}">
              <a16:creationId xmlns:a16="http://schemas.microsoft.com/office/drawing/2014/main" id="{A9B6B942-8517-4343-8332-2480B2785EFE}"/>
            </a:ext>
          </a:extLst>
        </xdr:cNvPr>
        <xdr:cNvSpPr>
          <a:spLocks noChangeArrowheads="1"/>
        </xdr:cNvSpPr>
      </xdr:nvSpPr>
      <xdr:spPr bwMode="auto">
        <a:xfrm>
          <a:off x="8562975" y="1285875"/>
          <a:ext cx="1000125" cy="438150"/>
        </a:xfrm>
        <a:prstGeom prst="wedgeRectCallout">
          <a:avLst>
            <a:gd name="adj1" fmla="val -59435"/>
            <a:gd name="adj2" fmla="val 80435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27360" bIns="0" anchor="t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ゴールライン対岸よりのワイヤーに注意</a:t>
          </a:r>
        </a:p>
      </xdr:txBody>
    </xdr:sp>
    <xdr:clientData/>
  </xdr:twoCellAnchor>
  <xdr:twoCellAnchor>
    <xdr:from>
      <xdr:col>0</xdr:col>
      <xdr:colOff>57150</xdr:colOff>
      <xdr:row>0</xdr:row>
      <xdr:rowOff>104775</xdr:rowOff>
    </xdr:from>
    <xdr:to>
      <xdr:col>6</xdr:col>
      <xdr:colOff>542925</xdr:colOff>
      <xdr:row>3</xdr:row>
      <xdr:rowOff>47625</xdr:rowOff>
    </xdr:to>
    <xdr:sp macro="" textlink="" fLocksText="0">
      <xdr:nvSpPr>
        <xdr:cNvPr id="208" name="Text Box 39">
          <a:extLst>
            <a:ext uri="{FF2B5EF4-FFF2-40B4-BE49-F238E27FC236}">
              <a16:creationId xmlns:a16="http://schemas.microsoft.com/office/drawing/2014/main" id="{01374744-48AF-4B28-9A8F-560462202BF2}"/>
            </a:ext>
          </a:extLst>
        </xdr:cNvPr>
        <xdr:cNvSpPr txBox="1">
          <a:spLocks noChangeArrowheads="1"/>
        </xdr:cNvSpPr>
      </xdr:nvSpPr>
      <xdr:spPr bwMode="auto">
        <a:xfrm>
          <a:off x="57150" y="104775"/>
          <a:ext cx="4200525" cy="55245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18000" anchor="ctr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県総体１次予選航行ルール(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練習時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　　　　</a:t>
          </a: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試合日の試合開始１時間前まで。試合終了３０分後より。</a:t>
          </a:r>
        </a:p>
      </xdr:txBody>
    </xdr:sp>
    <xdr:clientData/>
  </xdr:twoCellAnchor>
  <xdr:twoCellAnchor>
    <xdr:from>
      <xdr:col>3</xdr:col>
      <xdr:colOff>571500</xdr:colOff>
      <xdr:row>11</xdr:row>
      <xdr:rowOff>38100</xdr:rowOff>
    </xdr:from>
    <xdr:to>
      <xdr:col>4</xdr:col>
      <xdr:colOff>123825</xdr:colOff>
      <xdr:row>17</xdr:row>
      <xdr:rowOff>133350</xdr:rowOff>
    </xdr:to>
    <xdr:sp macro="" textlink="" fLocksText="0">
      <xdr:nvSpPr>
        <xdr:cNvPr id="209" name="Text Box 40">
          <a:extLst>
            <a:ext uri="{FF2B5EF4-FFF2-40B4-BE49-F238E27FC236}">
              <a16:creationId xmlns:a16="http://schemas.microsoft.com/office/drawing/2014/main" id="{E0995116-94E5-4100-86AF-283275DFE406}"/>
            </a:ext>
          </a:extLst>
        </xdr:cNvPr>
        <xdr:cNvSpPr txBox="1">
          <a:spLocks noChangeArrowheads="1"/>
        </xdr:cNvSpPr>
      </xdr:nvSpPr>
      <xdr:spPr bwMode="auto">
        <a:xfrm>
          <a:off x="2600325" y="2019300"/>
          <a:ext cx="228600" cy="11239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360" bIns="0" anchor="ctr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</xdr:txBody>
    </xdr:sp>
    <xdr:clientData/>
  </xdr:twoCellAnchor>
  <xdr:twoCellAnchor>
    <xdr:from>
      <xdr:col>7</xdr:col>
      <xdr:colOff>390525</xdr:colOff>
      <xdr:row>1</xdr:row>
      <xdr:rowOff>85725</xdr:rowOff>
    </xdr:from>
    <xdr:to>
      <xdr:col>8</xdr:col>
      <xdr:colOff>523875</xdr:colOff>
      <xdr:row>1</xdr:row>
      <xdr:rowOff>85725</xdr:rowOff>
    </xdr:to>
    <xdr:sp macro="" textlink="">
      <xdr:nvSpPr>
        <xdr:cNvPr id="210" name="Line 41">
          <a:extLst>
            <a:ext uri="{FF2B5EF4-FFF2-40B4-BE49-F238E27FC236}">
              <a16:creationId xmlns:a16="http://schemas.microsoft.com/office/drawing/2014/main" id="{113951C7-132D-4B8B-8A4C-84677D1DB460}"/>
            </a:ext>
          </a:extLst>
        </xdr:cNvPr>
        <xdr:cNvSpPr>
          <a:spLocks noChangeShapeType="1"/>
        </xdr:cNvSpPr>
      </xdr:nvSpPr>
      <xdr:spPr bwMode="auto">
        <a:xfrm flipH="1">
          <a:off x="4781550" y="352425"/>
          <a:ext cx="8096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180975</xdr:colOff>
      <xdr:row>0</xdr:row>
      <xdr:rowOff>180975</xdr:rowOff>
    </xdr:from>
    <xdr:to>
      <xdr:col>8</xdr:col>
      <xdr:colOff>180975</xdr:colOff>
      <xdr:row>2</xdr:row>
      <xdr:rowOff>76200</xdr:rowOff>
    </xdr:to>
    <xdr:sp macro="" textlink="">
      <xdr:nvSpPr>
        <xdr:cNvPr id="211" name="Line 42">
          <a:extLst>
            <a:ext uri="{FF2B5EF4-FFF2-40B4-BE49-F238E27FC236}">
              <a16:creationId xmlns:a16="http://schemas.microsoft.com/office/drawing/2014/main" id="{9743CADA-9DCC-4F7B-AF53-E4A4C62EAEBB}"/>
            </a:ext>
          </a:extLst>
        </xdr:cNvPr>
        <xdr:cNvSpPr>
          <a:spLocks noChangeShapeType="1"/>
        </xdr:cNvSpPr>
      </xdr:nvSpPr>
      <xdr:spPr bwMode="auto">
        <a:xfrm>
          <a:off x="5248275" y="180975"/>
          <a:ext cx="0" cy="3333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9</xdr:row>
      <xdr:rowOff>57150</xdr:rowOff>
    </xdr:from>
    <xdr:to>
      <xdr:col>15</xdr:col>
      <xdr:colOff>838200</xdr:colOff>
      <xdr:row>28</xdr:row>
      <xdr:rowOff>76200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AEE791D3-A369-4571-A67E-CE5BF69A4C0C}"/>
            </a:ext>
          </a:extLst>
        </xdr:cNvPr>
        <xdr:cNvSpPr>
          <a:spLocks noChangeArrowheads="1"/>
        </xdr:cNvSpPr>
      </xdr:nvSpPr>
      <xdr:spPr bwMode="auto">
        <a:xfrm>
          <a:off x="8086725" y="1695450"/>
          <a:ext cx="1990725" cy="3276600"/>
        </a:xfrm>
        <a:custGeom>
          <a:avLst/>
          <a:gdLst>
            <a:gd name="T0" fmla="*/ 0 w 251"/>
            <a:gd name="T1" fmla="*/ 2147483647 h 343"/>
            <a:gd name="T2" fmla="*/ 2147483647 w 251"/>
            <a:gd name="T3" fmla="*/ 2147483647 h 343"/>
            <a:gd name="T4" fmla="*/ 2147483647 w 251"/>
            <a:gd name="T5" fmla="*/ 2147483647 h 343"/>
            <a:gd name="T6" fmla="*/ 2147483647 w 251"/>
            <a:gd name="T7" fmla="*/ 2147483647 h 343"/>
            <a:gd name="T8" fmla="*/ 2147483647 w 251"/>
            <a:gd name="T9" fmla="*/ 2147483647 h 343"/>
            <a:gd name="T10" fmla="*/ 2147483647 w 251"/>
            <a:gd name="T11" fmla="*/ 2147483647 h 343"/>
            <a:gd name="T12" fmla="*/ 2147483647 w 251"/>
            <a:gd name="T13" fmla="*/ 2147483647 h 343"/>
            <a:gd name="T14" fmla="*/ 2147483647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190500</xdr:colOff>
      <xdr:row>28</xdr:row>
      <xdr:rowOff>76200</xdr:rowOff>
    </xdr:from>
    <xdr:to>
      <xdr:col>13</xdr:col>
      <xdr:colOff>9525</xdr:colOff>
      <xdr:row>28</xdr:row>
      <xdr:rowOff>76200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305983C-632D-4AD7-B427-F0D128F1AA64}"/>
            </a:ext>
          </a:extLst>
        </xdr:cNvPr>
        <xdr:cNvSpPr>
          <a:spLocks noChangeShapeType="1"/>
        </xdr:cNvSpPr>
      </xdr:nvSpPr>
      <xdr:spPr bwMode="auto">
        <a:xfrm>
          <a:off x="6210300" y="4972050"/>
          <a:ext cx="18478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28</xdr:row>
      <xdr:rowOff>76200</xdr:rowOff>
    </xdr:from>
    <xdr:to>
      <xdr:col>8</xdr:col>
      <xdr:colOff>219075</xdr:colOff>
      <xdr:row>28</xdr:row>
      <xdr:rowOff>76200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84EDD91-3466-4F75-9D93-1FF4033BEDEF}"/>
            </a:ext>
          </a:extLst>
        </xdr:cNvPr>
        <xdr:cNvSpPr>
          <a:spLocks noChangeShapeType="1"/>
        </xdr:cNvSpPr>
      </xdr:nvSpPr>
      <xdr:spPr bwMode="auto">
        <a:xfrm>
          <a:off x="3762375" y="4972050"/>
          <a:ext cx="1123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114300</xdr:rowOff>
    </xdr:from>
    <xdr:to>
      <xdr:col>6</xdr:col>
      <xdr:colOff>203200</xdr:colOff>
      <xdr:row>28</xdr:row>
      <xdr:rowOff>54077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6426B2F-8851-4ABC-862D-E3236F147CA8}"/>
            </a:ext>
          </a:extLst>
        </xdr:cNvPr>
        <xdr:cNvSpPr>
          <a:spLocks noChangeArrowheads="1"/>
        </xdr:cNvSpPr>
      </xdr:nvSpPr>
      <xdr:spPr bwMode="auto">
        <a:xfrm>
          <a:off x="3314700" y="4667250"/>
          <a:ext cx="203200" cy="282677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520700</xdr:colOff>
      <xdr:row>26</xdr:row>
      <xdr:rowOff>114300</xdr:rowOff>
    </xdr:from>
    <xdr:to>
      <xdr:col>7</xdr:col>
      <xdr:colOff>50800</xdr:colOff>
      <xdr:row>28</xdr:row>
      <xdr:rowOff>92166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7CFFC0A-9097-473D-BEB4-73CFB2818893}"/>
            </a:ext>
          </a:extLst>
        </xdr:cNvPr>
        <xdr:cNvSpPr>
          <a:spLocks noChangeArrowheads="1"/>
        </xdr:cNvSpPr>
      </xdr:nvSpPr>
      <xdr:spPr bwMode="auto">
        <a:xfrm>
          <a:off x="3835400" y="4667250"/>
          <a:ext cx="206375" cy="32076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165100</xdr:colOff>
      <xdr:row>26</xdr:row>
      <xdr:rowOff>114300</xdr:rowOff>
    </xdr:from>
    <xdr:to>
      <xdr:col>7</xdr:col>
      <xdr:colOff>368300</xdr:colOff>
      <xdr:row>28</xdr:row>
      <xdr:rowOff>92166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BB773BC-18E1-4A6C-AF4E-E7A25021EE64}"/>
            </a:ext>
          </a:extLst>
        </xdr:cNvPr>
        <xdr:cNvSpPr>
          <a:spLocks noChangeArrowheads="1"/>
        </xdr:cNvSpPr>
      </xdr:nvSpPr>
      <xdr:spPr bwMode="auto">
        <a:xfrm>
          <a:off x="4156075" y="4667250"/>
          <a:ext cx="203200" cy="32076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441325</xdr:colOff>
      <xdr:row>26</xdr:row>
      <xdr:rowOff>92075</xdr:rowOff>
    </xdr:from>
    <xdr:to>
      <xdr:col>7</xdr:col>
      <xdr:colOff>635289</xdr:colOff>
      <xdr:row>28</xdr:row>
      <xdr:rowOff>92075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B8AD48D-471A-49D4-8A1A-B22DCB7CA46A}"/>
            </a:ext>
          </a:extLst>
        </xdr:cNvPr>
        <xdr:cNvSpPr>
          <a:spLocks noChangeArrowheads="1"/>
        </xdr:cNvSpPr>
      </xdr:nvSpPr>
      <xdr:spPr bwMode="auto">
        <a:xfrm>
          <a:off x="4432300" y="4645025"/>
          <a:ext cx="193964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330200</xdr:colOff>
      <xdr:row>26</xdr:row>
      <xdr:rowOff>76200</xdr:rowOff>
    </xdr:from>
    <xdr:to>
      <xdr:col>10</xdr:col>
      <xdr:colOff>533400</xdr:colOff>
      <xdr:row>28</xdr:row>
      <xdr:rowOff>92156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1DDD320-6E49-48CF-A791-89A50EADB48F}"/>
            </a:ext>
          </a:extLst>
        </xdr:cNvPr>
        <xdr:cNvSpPr>
          <a:spLocks noChangeArrowheads="1"/>
        </xdr:cNvSpPr>
      </xdr:nvSpPr>
      <xdr:spPr bwMode="auto">
        <a:xfrm>
          <a:off x="6350000" y="4629150"/>
          <a:ext cx="203200" cy="35885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0</xdr:colOff>
      <xdr:row>26</xdr:row>
      <xdr:rowOff>53975</xdr:rowOff>
    </xdr:from>
    <xdr:to>
      <xdr:col>11</xdr:col>
      <xdr:colOff>203200</xdr:colOff>
      <xdr:row>28</xdr:row>
      <xdr:rowOff>92075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AA9C2E1-1F06-4809-91DE-4EF87930EE8F}"/>
            </a:ext>
          </a:extLst>
        </xdr:cNvPr>
        <xdr:cNvSpPr>
          <a:spLocks noChangeArrowheads="1"/>
        </xdr:cNvSpPr>
      </xdr:nvSpPr>
      <xdr:spPr bwMode="auto">
        <a:xfrm>
          <a:off x="6696075" y="4606925"/>
          <a:ext cx="203200" cy="381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447675</xdr:colOff>
      <xdr:row>28</xdr:row>
      <xdr:rowOff>57150</xdr:rowOff>
    </xdr:from>
    <xdr:to>
      <xdr:col>5</xdr:col>
      <xdr:colOff>647700</xdr:colOff>
      <xdr:row>28</xdr:row>
      <xdr:rowOff>66675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59F7C0F4-11A4-4D1A-BC7E-965D2A334173}"/>
            </a:ext>
          </a:extLst>
        </xdr:cNvPr>
        <xdr:cNvSpPr>
          <a:spLocks noChangeShapeType="1"/>
        </xdr:cNvSpPr>
      </xdr:nvSpPr>
      <xdr:spPr bwMode="auto">
        <a:xfrm flipV="1">
          <a:off x="3086100" y="4953000"/>
          <a:ext cx="200025" cy="95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28</xdr:row>
      <xdr:rowOff>28575</xdr:rowOff>
    </xdr:from>
    <xdr:to>
      <xdr:col>6</xdr:col>
      <xdr:colOff>342900</xdr:colOff>
      <xdr:row>32</xdr:row>
      <xdr:rowOff>38100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55E5C141-5510-41A5-8924-01AD11BF86D7}"/>
            </a:ext>
          </a:extLst>
        </xdr:cNvPr>
        <xdr:cNvSpPr>
          <a:spLocks noChangeArrowheads="1"/>
        </xdr:cNvSpPr>
      </xdr:nvSpPr>
      <xdr:spPr bwMode="auto">
        <a:xfrm>
          <a:off x="3505200" y="4924425"/>
          <a:ext cx="152400" cy="695325"/>
        </a:xfrm>
        <a:custGeom>
          <a:avLst/>
          <a:gdLst>
            <a:gd name="T0" fmla="*/ 0 w 16"/>
            <a:gd name="T1" fmla="*/ 2147483647 h 108"/>
            <a:gd name="T2" fmla="*/ 2147483647 w 16"/>
            <a:gd name="T3" fmla="*/ 2147483647 h 108"/>
            <a:gd name="T4" fmla="*/ 2147483647 w 16"/>
            <a:gd name="T5" fmla="*/ 2147483647 h 108"/>
            <a:gd name="T6" fmla="*/ 2147483647 w 16"/>
            <a:gd name="T7" fmla="*/ 2147483647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381000</xdr:colOff>
      <xdr:row>28</xdr:row>
      <xdr:rowOff>114300</xdr:rowOff>
    </xdr:from>
    <xdr:to>
      <xdr:col>6</xdr:col>
      <xdr:colOff>457200</xdr:colOff>
      <xdr:row>32</xdr:row>
      <xdr:rowOff>85725</xdr:rowOff>
    </xdr:to>
    <xdr:sp macro="" textlink="">
      <xdr:nvSpPr>
        <xdr:cNvPr id="13" name="Freeform 12">
          <a:extLst>
            <a:ext uri="{FF2B5EF4-FFF2-40B4-BE49-F238E27FC236}">
              <a16:creationId xmlns:a16="http://schemas.microsoft.com/office/drawing/2014/main" id="{9125278F-2AC2-40D2-9FCA-3679B2562F65}"/>
            </a:ext>
          </a:extLst>
        </xdr:cNvPr>
        <xdr:cNvSpPr>
          <a:spLocks noChangeArrowheads="1"/>
        </xdr:cNvSpPr>
      </xdr:nvSpPr>
      <xdr:spPr bwMode="auto">
        <a:xfrm>
          <a:off x="3695700" y="5010150"/>
          <a:ext cx="76200" cy="657225"/>
        </a:xfrm>
        <a:custGeom>
          <a:avLst/>
          <a:gdLst>
            <a:gd name="T0" fmla="*/ 2147483647 w 6"/>
            <a:gd name="T1" fmla="*/ 0 h 56"/>
            <a:gd name="T2" fmla="*/ 2147483647 w 6"/>
            <a:gd name="T3" fmla="*/ 2147483647 h 56"/>
            <a:gd name="T4" fmla="*/ 0 w 6"/>
            <a:gd name="T5" fmla="*/ 2147483647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27</xdr:row>
      <xdr:rowOff>28575</xdr:rowOff>
    </xdr:from>
    <xdr:to>
      <xdr:col>10</xdr:col>
      <xdr:colOff>161925</xdr:colOff>
      <xdr:row>28</xdr:row>
      <xdr:rowOff>95250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BB376934-A792-4631-BB73-79D81F547F59}"/>
            </a:ext>
          </a:extLst>
        </xdr:cNvPr>
        <xdr:cNvSpPr>
          <a:spLocks noChangeArrowheads="1"/>
        </xdr:cNvSpPr>
      </xdr:nvSpPr>
      <xdr:spPr bwMode="auto">
        <a:xfrm>
          <a:off x="4857750" y="4752975"/>
          <a:ext cx="1323975" cy="238125"/>
        </a:xfrm>
        <a:custGeom>
          <a:avLst/>
          <a:gdLst>
            <a:gd name="T0" fmla="*/ 0 w 142"/>
            <a:gd name="T1" fmla="*/ 2147483647 h 25"/>
            <a:gd name="T2" fmla="*/ 2147483647 w 142"/>
            <a:gd name="T3" fmla="*/ 2147483647 h 25"/>
            <a:gd name="T4" fmla="*/ 2147483647 w 142"/>
            <a:gd name="T5" fmla="*/ 2147483647 h 25"/>
            <a:gd name="T6" fmla="*/ 2147483647 w 142"/>
            <a:gd name="T7" fmla="*/ 2147483647 h 25"/>
            <a:gd name="T8" fmla="*/ 2147483647 w 142"/>
            <a:gd name="T9" fmla="*/ 2147483647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13</xdr:row>
      <xdr:rowOff>114300</xdr:rowOff>
    </xdr:from>
    <xdr:to>
      <xdr:col>7</xdr:col>
      <xdr:colOff>666750</xdr:colOff>
      <xdr:row>15</xdr:row>
      <xdr:rowOff>142875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3E570CEE-28A9-4D4E-BAB6-6F86249093A8}"/>
            </a:ext>
          </a:extLst>
        </xdr:cNvPr>
        <xdr:cNvSpPr>
          <a:spLocks noChangeArrowheads="1"/>
        </xdr:cNvSpPr>
      </xdr:nvSpPr>
      <xdr:spPr bwMode="auto">
        <a:xfrm>
          <a:off x="4219575" y="2438400"/>
          <a:ext cx="438150" cy="3714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638175</xdr:colOff>
      <xdr:row>13</xdr:row>
      <xdr:rowOff>114300</xdr:rowOff>
    </xdr:from>
    <xdr:to>
      <xdr:col>11</xdr:col>
      <xdr:colOff>342900</xdr:colOff>
      <xdr:row>15</xdr:row>
      <xdr:rowOff>133350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CB5431DB-DE05-4865-B9D7-558DB75AC6CA}"/>
            </a:ext>
          </a:extLst>
        </xdr:cNvPr>
        <xdr:cNvSpPr>
          <a:spLocks noChangeArrowheads="1"/>
        </xdr:cNvSpPr>
      </xdr:nvSpPr>
      <xdr:spPr bwMode="auto">
        <a:xfrm>
          <a:off x="6657975" y="2438400"/>
          <a:ext cx="381000" cy="3619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666750</xdr:colOff>
      <xdr:row>26</xdr:row>
      <xdr:rowOff>9525</xdr:rowOff>
    </xdr:from>
    <xdr:to>
      <xdr:col>5</xdr:col>
      <xdr:colOff>419100</xdr:colOff>
      <xdr:row>28</xdr:row>
      <xdr:rowOff>57150</xdr:rowOff>
    </xdr:to>
    <xdr:sp macro="" textlink="">
      <xdr:nvSpPr>
        <xdr:cNvPr id="17" name="Freeform 17">
          <a:extLst>
            <a:ext uri="{FF2B5EF4-FFF2-40B4-BE49-F238E27FC236}">
              <a16:creationId xmlns:a16="http://schemas.microsoft.com/office/drawing/2014/main" id="{FFCFC74F-530B-4BBD-BCED-CA3425BE13ED}"/>
            </a:ext>
          </a:extLst>
        </xdr:cNvPr>
        <xdr:cNvSpPr>
          <a:spLocks noChangeArrowheads="1"/>
        </xdr:cNvSpPr>
      </xdr:nvSpPr>
      <xdr:spPr bwMode="auto">
        <a:xfrm>
          <a:off x="1743075" y="4562475"/>
          <a:ext cx="1314450" cy="390525"/>
        </a:xfrm>
        <a:custGeom>
          <a:avLst/>
          <a:gdLst>
            <a:gd name="T0" fmla="*/ 0 w 118"/>
            <a:gd name="T1" fmla="*/ 2147483647 h 42"/>
            <a:gd name="T2" fmla="*/ 2147483647 w 118"/>
            <a:gd name="T3" fmla="*/ 2147483647 h 42"/>
            <a:gd name="T4" fmla="*/ 2147483647 w 118"/>
            <a:gd name="T5" fmla="*/ 2147483647 h 42"/>
            <a:gd name="T6" fmla="*/ 2147483647 w 118"/>
            <a:gd name="T7" fmla="*/ 2147483647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</xdr:row>
      <xdr:rowOff>142875</xdr:rowOff>
    </xdr:from>
    <xdr:to>
      <xdr:col>10</xdr:col>
      <xdr:colOff>123825</xdr:colOff>
      <xdr:row>14</xdr:row>
      <xdr:rowOff>133350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BF66F1AE-A7C8-4160-AF47-2BA912D0E774}"/>
            </a:ext>
          </a:extLst>
        </xdr:cNvPr>
        <xdr:cNvSpPr>
          <a:spLocks noChangeShapeType="1"/>
        </xdr:cNvSpPr>
      </xdr:nvSpPr>
      <xdr:spPr bwMode="auto">
        <a:xfrm flipV="1">
          <a:off x="428625" y="1781175"/>
          <a:ext cx="5715000" cy="847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5</xdr:row>
      <xdr:rowOff>95250</xdr:rowOff>
    </xdr:from>
    <xdr:to>
      <xdr:col>10</xdr:col>
      <xdr:colOff>485775</xdr:colOff>
      <xdr:row>9</xdr:row>
      <xdr:rowOff>133350</xdr:rowOff>
    </xdr:to>
    <xdr:sp macro="" textlink="">
      <xdr:nvSpPr>
        <xdr:cNvPr id="19" name="Freeform 19">
          <a:extLst>
            <a:ext uri="{FF2B5EF4-FFF2-40B4-BE49-F238E27FC236}">
              <a16:creationId xmlns:a16="http://schemas.microsoft.com/office/drawing/2014/main" id="{3F9717D2-28E5-4078-BBAF-27C2BC2114B0}"/>
            </a:ext>
          </a:extLst>
        </xdr:cNvPr>
        <xdr:cNvSpPr>
          <a:spLocks noChangeArrowheads="1"/>
        </xdr:cNvSpPr>
      </xdr:nvSpPr>
      <xdr:spPr bwMode="auto">
        <a:xfrm>
          <a:off x="6134100" y="1047750"/>
          <a:ext cx="371475" cy="723900"/>
        </a:xfrm>
        <a:custGeom>
          <a:avLst/>
          <a:gdLst>
            <a:gd name="T0" fmla="*/ 0 w 40"/>
            <a:gd name="T1" fmla="*/ 2147483647 h 59"/>
            <a:gd name="T2" fmla="*/ 2147483647 w 40"/>
            <a:gd name="T3" fmla="*/ 2147483647 h 59"/>
            <a:gd name="T4" fmla="*/ 2147483647 w 40"/>
            <a:gd name="T5" fmla="*/ 2147483647 h 59"/>
            <a:gd name="T6" fmla="*/ 2147483647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492125</xdr:colOff>
      <xdr:row>7</xdr:row>
      <xdr:rowOff>146050</xdr:rowOff>
    </xdr:from>
    <xdr:to>
      <xdr:col>6</xdr:col>
      <xdr:colOff>549275</xdr:colOff>
      <xdr:row>11</xdr:row>
      <xdr:rowOff>47705</xdr:rowOff>
    </xdr:to>
    <xdr:sp macro="" textlink="" fLocksText="0">
      <xdr:nvSpPr>
        <xdr:cNvPr id="20" name="AutoShape 20">
          <a:extLst>
            <a:ext uri="{FF2B5EF4-FFF2-40B4-BE49-F238E27FC236}">
              <a16:creationId xmlns:a16="http://schemas.microsoft.com/office/drawing/2014/main" id="{B99908AD-E05A-4FF8-9716-DE621945F723}"/>
            </a:ext>
          </a:extLst>
        </xdr:cNvPr>
        <xdr:cNvSpPr>
          <a:spLocks noChangeArrowheads="1"/>
        </xdr:cNvSpPr>
      </xdr:nvSpPr>
      <xdr:spPr bwMode="auto">
        <a:xfrm>
          <a:off x="2454275" y="1441450"/>
          <a:ext cx="1409700" cy="587455"/>
        </a:xfrm>
        <a:prstGeom prst="wedgeRoundRectCallout">
          <a:avLst>
            <a:gd name="adj1" fmla="val -11750"/>
            <a:gd name="adj2" fmla="val 47060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待機場所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1100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ｍ付近で待機。</a:t>
          </a:r>
        </a:p>
      </xdr:txBody>
    </xdr:sp>
    <xdr:clientData/>
  </xdr:twoCellAnchor>
  <xdr:twoCellAnchor>
    <xdr:from>
      <xdr:col>1</xdr:col>
      <xdr:colOff>85725</xdr:colOff>
      <xdr:row>1</xdr:row>
      <xdr:rowOff>38100</xdr:rowOff>
    </xdr:from>
    <xdr:to>
      <xdr:col>6</xdr:col>
      <xdr:colOff>558789</xdr:colOff>
      <xdr:row>4</xdr:row>
      <xdr:rowOff>85881</xdr:rowOff>
    </xdr:to>
    <xdr:sp macro="" textlink="" fLocksText="0">
      <xdr:nvSpPr>
        <xdr:cNvPr id="21" name="Text Box 22">
          <a:extLst>
            <a:ext uri="{FF2B5EF4-FFF2-40B4-BE49-F238E27FC236}">
              <a16:creationId xmlns:a16="http://schemas.microsoft.com/office/drawing/2014/main" id="{B6AFBFA0-B717-4AF5-8C18-EA0D08A24EF9}"/>
            </a:ext>
          </a:extLst>
        </xdr:cNvPr>
        <xdr:cNvSpPr txBox="1">
          <a:spLocks noChangeArrowheads="1"/>
        </xdr:cNvSpPr>
      </xdr:nvSpPr>
      <xdr:spPr bwMode="auto">
        <a:xfrm>
          <a:off x="209550" y="209550"/>
          <a:ext cx="3663939" cy="562131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18000" rIns="36360" bIns="18000" anchor="ctr" upright="1"/>
        <a:lstStyle/>
        <a:p>
          <a:pPr algn="ctr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高校新人１次予選・航行ルール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レース時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試合日の試合開始１時間前より、試合終了３０分後まで。</a:t>
          </a:r>
        </a:p>
        <a:p>
          <a:pPr algn="ctr" rtl="0">
            <a:defRPr sz="1000"/>
          </a:pPr>
          <a:endParaRPr lang="ja-JP" altLang="en-US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9525</xdr:colOff>
      <xdr:row>23</xdr:row>
      <xdr:rowOff>76200</xdr:rowOff>
    </xdr:from>
    <xdr:to>
      <xdr:col>3</xdr:col>
      <xdr:colOff>647700</xdr:colOff>
      <xdr:row>27</xdr:row>
      <xdr:rowOff>95250</xdr:rowOff>
    </xdr:to>
    <xdr:sp macro="" textlink="">
      <xdr:nvSpPr>
        <xdr:cNvPr id="22" name="Line 23">
          <a:extLst>
            <a:ext uri="{FF2B5EF4-FFF2-40B4-BE49-F238E27FC236}">
              <a16:creationId xmlns:a16="http://schemas.microsoft.com/office/drawing/2014/main" id="{67158238-0B51-4B80-AFA4-F4B15DC63615}"/>
            </a:ext>
          </a:extLst>
        </xdr:cNvPr>
        <xdr:cNvSpPr>
          <a:spLocks noChangeShapeType="1"/>
        </xdr:cNvSpPr>
      </xdr:nvSpPr>
      <xdr:spPr bwMode="auto">
        <a:xfrm flipH="1" flipV="1">
          <a:off x="409575" y="4114800"/>
          <a:ext cx="1314450" cy="7048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12</xdr:row>
      <xdr:rowOff>95250</xdr:rowOff>
    </xdr:from>
    <xdr:to>
      <xdr:col>12</xdr:col>
      <xdr:colOff>590550</xdr:colOff>
      <xdr:row>14</xdr:row>
      <xdr:rowOff>57150</xdr:rowOff>
    </xdr:to>
    <xdr:sp macro="" textlink="">
      <xdr:nvSpPr>
        <xdr:cNvPr id="23" name="AutoShape 24">
          <a:extLst>
            <a:ext uri="{FF2B5EF4-FFF2-40B4-BE49-F238E27FC236}">
              <a16:creationId xmlns:a16="http://schemas.microsoft.com/office/drawing/2014/main" id="{D497F584-BD64-44E8-9D2E-BCE0A69C7018}"/>
            </a:ext>
          </a:extLst>
        </xdr:cNvPr>
        <xdr:cNvSpPr>
          <a:spLocks noChangeArrowheads="1"/>
        </xdr:cNvSpPr>
      </xdr:nvSpPr>
      <xdr:spPr bwMode="auto">
        <a:xfrm rot="5280000" flipH="1">
          <a:off x="7529513" y="2119312"/>
          <a:ext cx="304800" cy="5619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485775</xdr:colOff>
      <xdr:row>2</xdr:row>
      <xdr:rowOff>28575</xdr:rowOff>
    </xdr:from>
    <xdr:to>
      <xdr:col>10</xdr:col>
      <xdr:colOff>485775</xdr:colOff>
      <xdr:row>5</xdr:row>
      <xdr:rowOff>57150</xdr:rowOff>
    </xdr:to>
    <xdr:sp macro="" textlink="">
      <xdr:nvSpPr>
        <xdr:cNvPr id="24" name="Freeform 25">
          <a:extLst>
            <a:ext uri="{FF2B5EF4-FFF2-40B4-BE49-F238E27FC236}">
              <a16:creationId xmlns:a16="http://schemas.microsoft.com/office/drawing/2014/main" id="{7121DC1A-3254-49FE-B243-FB5D16E73F62}"/>
            </a:ext>
          </a:extLst>
        </xdr:cNvPr>
        <xdr:cNvSpPr>
          <a:spLocks noChangeArrowheads="1"/>
        </xdr:cNvSpPr>
      </xdr:nvSpPr>
      <xdr:spPr bwMode="auto">
        <a:xfrm>
          <a:off x="6505575" y="371475"/>
          <a:ext cx="0" cy="638175"/>
        </a:xfrm>
        <a:custGeom>
          <a:avLst/>
          <a:gdLst>
            <a:gd name="T0" fmla="*/ 2147483646 w 1"/>
            <a:gd name="T1" fmla="*/ 2147483647 h 68"/>
            <a:gd name="T2" fmla="*/ 0 w 1"/>
            <a:gd name="T3" fmla="*/ 0 h 68"/>
            <a:gd name="T4" fmla="*/ 0 60000 65536"/>
            <a:gd name="T5" fmla="*/ 0 60000 65536"/>
            <a:gd name="T6" fmla="*/ 0 w 1"/>
            <a:gd name="T7" fmla="*/ 0 h 68"/>
            <a:gd name="T8" fmla="*/ 0 w 1"/>
            <a:gd name="T9" fmla="*/ 68 h 68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68">
              <a:moveTo>
                <a:pt x="1" y="68"/>
              </a:moveTo>
              <a:cubicBezTo>
                <a:pt x="0" y="39"/>
                <a:pt x="0" y="11"/>
                <a:pt x="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266700</xdr:colOff>
      <xdr:row>2</xdr:row>
      <xdr:rowOff>28575</xdr:rowOff>
    </xdr:from>
    <xdr:to>
      <xdr:col>13</xdr:col>
      <xdr:colOff>438150</xdr:colOff>
      <xdr:row>9</xdr:row>
      <xdr:rowOff>47625</xdr:rowOff>
    </xdr:to>
    <xdr:sp macro="" textlink="">
      <xdr:nvSpPr>
        <xdr:cNvPr id="25" name="Freeform 26">
          <a:extLst>
            <a:ext uri="{FF2B5EF4-FFF2-40B4-BE49-F238E27FC236}">
              <a16:creationId xmlns:a16="http://schemas.microsoft.com/office/drawing/2014/main" id="{75289187-C9B1-455C-9449-D2D4E307E8C5}"/>
            </a:ext>
          </a:extLst>
        </xdr:cNvPr>
        <xdr:cNvSpPr>
          <a:spLocks noChangeArrowheads="1"/>
        </xdr:cNvSpPr>
      </xdr:nvSpPr>
      <xdr:spPr bwMode="auto">
        <a:xfrm>
          <a:off x="8315325" y="371475"/>
          <a:ext cx="171450" cy="1314450"/>
        </a:xfrm>
        <a:custGeom>
          <a:avLst/>
          <a:gdLst>
            <a:gd name="T0" fmla="*/ 2147483647 w 17"/>
            <a:gd name="T1" fmla="*/ 2147483647 h 138"/>
            <a:gd name="T2" fmla="*/ 2147483647 w 17"/>
            <a:gd name="T3" fmla="*/ 2147483647 h 138"/>
            <a:gd name="T4" fmla="*/ 2147483647 w 17"/>
            <a:gd name="T5" fmla="*/ 2147483647 h 138"/>
            <a:gd name="T6" fmla="*/ 0 w 17"/>
            <a:gd name="T7" fmla="*/ 0 h 138"/>
            <a:gd name="T8" fmla="*/ 0 60000 65536"/>
            <a:gd name="T9" fmla="*/ 0 60000 65536"/>
            <a:gd name="T10" fmla="*/ 0 60000 65536"/>
            <a:gd name="T11" fmla="*/ 0 60000 65536"/>
            <a:gd name="T12" fmla="*/ 0 w 17"/>
            <a:gd name="T13" fmla="*/ 0 h 138"/>
            <a:gd name="T14" fmla="*/ 17 w 17"/>
            <a:gd name="T15" fmla="*/ 138 h 13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7" h="138">
              <a:moveTo>
                <a:pt x="17" y="138"/>
              </a:moveTo>
              <a:cubicBezTo>
                <a:pt x="12" y="107"/>
                <a:pt x="7" y="77"/>
                <a:pt x="4" y="57"/>
              </a:cubicBezTo>
              <a:cubicBezTo>
                <a:pt x="1" y="37"/>
                <a:pt x="2" y="24"/>
                <a:pt x="1" y="15"/>
              </a:cubicBezTo>
              <a:cubicBezTo>
                <a:pt x="0" y="6"/>
                <a:pt x="0" y="2"/>
                <a:pt x="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596900</xdr:colOff>
      <xdr:row>3</xdr:row>
      <xdr:rowOff>88900</xdr:rowOff>
    </xdr:from>
    <xdr:to>
      <xdr:col>12</xdr:col>
      <xdr:colOff>38100</xdr:colOff>
      <xdr:row>4</xdr:row>
      <xdr:rowOff>25400</xdr:rowOff>
    </xdr:to>
    <xdr:sp macro="" textlink="">
      <xdr:nvSpPr>
        <xdr:cNvPr id="26" name="Oval 27">
          <a:extLst>
            <a:ext uri="{FF2B5EF4-FFF2-40B4-BE49-F238E27FC236}">
              <a16:creationId xmlns:a16="http://schemas.microsoft.com/office/drawing/2014/main" id="{83D5D774-777A-4C0F-A65A-03579BE43AC2}"/>
            </a:ext>
          </a:extLst>
        </xdr:cNvPr>
        <xdr:cNvSpPr>
          <a:spLocks noChangeArrowheads="1"/>
        </xdr:cNvSpPr>
      </xdr:nvSpPr>
      <xdr:spPr bwMode="auto">
        <a:xfrm>
          <a:off x="7292975" y="603250"/>
          <a:ext cx="117475" cy="1079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631825</xdr:colOff>
      <xdr:row>9</xdr:row>
      <xdr:rowOff>168275</xdr:rowOff>
    </xdr:from>
    <xdr:to>
      <xdr:col>12</xdr:col>
      <xdr:colOff>50800</xdr:colOff>
      <xdr:row>10</xdr:row>
      <xdr:rowOff>114300</xdr:rowOff>
    </xdr:to>
    <xdr:sp macro="" textlink="">
      <xdr:nvSpPr>
        <xdr:cNvPr id="27" name="Oval 28">
          <a:extLst>
            <a:ext uri="{FF2B5EF4-FFF2-40B4-BE49-F238E27FC236}">
              <a16:creationId xmlns:a16="http://schemas.microsoft.com/office/drawing/2014/main" id="{EBEF59F3-4A71-4DC3-92CC-227D5D59C214}"/>
            </a:ext>
          </a:extLst>
        </xdr:cNvPr>
        <xdr:cNvSpPr>
          <a:spLocks noChangeArrowheads="1"/>
        </xdr:cNvSpPr>
      </xdr:nvSpPr>
      <xdr:spPr bwMode="auto">
        <a:xfrm>
          <a:off x="7327900" y="1806575"/>
          <a:ext cx="95250" cy="1174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12</xdr:col>
      <xdr:colOff>514350</xdr:colOff>
      <xdr:row>23</xdr:row>
      <xdr:rowOff>142875</xdr:rowOff>
    </xdr:from>
    <xdr:to>
      <xdr:col>13</xdr:col>
      <xdr:colOff>447675</xdr:colOff>
      <xdr:row>23</xdr:row>
      <xdr:rowOff>142875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811C53C3-85F2-4C61-969B-F4E2206A53BA}"/>
            </a:ext>
          </a:extLst>
        </xdr:cNvPr>
        <xdr:cNvSpPr>
          <a:spLocks noChangeShapeType="1"/>
        </xdr:cNvSpPr>
      </xdr:nvSpPr>
      <xdr:spPr bwMode="auto">
        <a:xfrm flipH="1">
          <a:off x="7886700" y="418147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23</xdr:row>
      <xdr:rowOff>171450</xdr:rowOff>
    </xdr:from>
    <xdr:to>
      <xdr:col>10</xdr:col>
      <xdr:colOff>85725</xdr:colOff>
      <xdr:row>23</xdr:row>
      <xdr:rowOff>171450</xdr:rowOff>
    </xdr:to>
    <xdr:sp macro="" textlink="">
      <xdr:nvSpPr>
        <xdr:cNvPr id="29" name="Line 30">
          <a:extLst>
            <a:ext uri="{FF2B5EF4-FFF2-40B4-BE49-F238E27FC236}">
              <a16:creationId xmlns:a16="http://schemas.microsoft.com/office/drawing/2014/main" id="{3D66192D-FBDC-4164-BDF8-F7780D7E699D}"/>
            </a:ext>
          </a:extLst>
        </xdr:cNvPr>
        <xdr:cNvSpPr>
          <a:spLocks noChangeShapeType="1"/>
        </xdr:cNvSpPr>
      </xdr:nvSpPr>
      <xdr:spPr bwMode="auto">
        <a:xfrm flipH="1">
          <a:off x="5495925" y="421005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165100</xdr:colOff>
      <xdr:row>17</xdr:row>
      <xdr:rowOff>114300</xdr:rowOff>
    </xdr:from>
    <xdr:to>
      <xdr:col>7</xdr:col>
      <xdr:colOff>365125</xdr:colOff>
      <xdr:row>24</xdr:row>
      <xdr:rowOff>38100</xdr:rowOff>
    </xdr:to>
    <xdr:sp macro="" textlink="">
      <xdr:nvSpPr>
        <xdr:cNvPr id="30" name="AutoShape 31">
          <a:extLst>
            <a:ext uri="{FF2B5EF4-FFF2-40B4-BE49-F238E27FC236}">
              <a16:creationId xmlns:a16="http://schemas.microsoft.com/office/drawing/2014/main" id="{BE90682D-A3BF-4F05-AB3A-59B3DE8EEDE4}"/>
            </a:ext>
          </a:extLst>
        </xdr:cNvPr>
        <xdr:cNvSpPr>
          <a:spLocks noChangeArrowheads="1"/>
        </xdr:cNvSpPr>
      </xdr:nvSpPr>
      <xdr:spPr bwMode="auto">
        <a:xfrm>
          <a:off x="4156075" y="3124200"/>
          <a:ext cx="200025" cy="1123950"/>
        </a:xfrm>
        <a:prstGeom prst="upArrow">
          <a:avLst>
            <a:gd name="adj1" fmla="val 50000"/>
            <a:gd name="adj2" fmla="val 15333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635000</xdr:colOff>
      <xdr:row>17</xdr:row>
      <xdr:rowOff>127000</xdr:rowOff>
    </xdr:from>
    <xdr:to>
      <xdr:col>11</xdr:col>
      <xdr:colOff>165100</xdr:colOff>
      <xdr:row>24</xdr:row>
      <xdr:rowOff>50800</xdr:rowOff>
    </xdr:to>
    <xdr:sp macro="" textlink="">
      <xdr:nvSpPr>
        <xdr:cNvPr id="31" name="AutoShape 32">
          <a:extLst>
            <a:ext uri="{FF2B5EF4-FFF2-40B4-BE49-F238E27FC236}">
              <a16:creationId xmlns:a16="http://schemas.microsoft.com/office/drawing/2014/main" id="{99B71A1B-4294-49C6-AE30-0B97C94D95F8}"/>
            </a:ext>
          </a:extLst>
        </xdr:cNvPr>
        <xdr:cNvSpPr>
          <a:spLocks noChangeArrowheads="1"/>
        </xdr:cNvSpPr>
      </xdr:nvSpPr>
      <xdr:spPr bwMode="auto">
        <a:xfrm>
          <a:off x="6654800" y="3136900"/>
          <a:ext cx="206375" cy="1123950"/>
        </a:xfrm>
        <a:prstGeom prst="upArrow">
          <a:avLst>
            <a:gd name="adj1" fmla="val 50000"/>
            <a:gd name="adj2" fmla="val 14375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295275</xdr:colOff>
      <xdr:row>23</xdr:row>
      <xdr:rowOff>133350</xdr:rowOff>
    </xdr:from>
    <xdr:to>
      <xdr:col>11</xdr:col>
      <xdr:colOff>590550</xdr:colOff>
      <xdr:row>25</xdr:row>
      <xdr:rowOff>9525</xdr:rowOff>
    </xdr:to>
    <xdr:sp macro="" textlink="">
      <xdr:nvSpPr>
        <xdr:cNvPr id="32" name="AutoShape 33">
          <a:extLst>
            <a:ext uri="{FF2B5EF4-FFF2-40B4-BE49-F238E27FC236}">
              <a16:creationId xmlns:a16="http://schemas.microsoft.com/office/drawing/2014/main" id="{9B46A906-7CE9-4AB4-BEBB-8181D5FF3AB0}"/>
            </a:ext>
          </a:extLst>
        </xdr:cNvPr>
        <xdr:cNvSpPr>
          <a:spLocks noChangeArrowheads="1"/>
        </xdr:cNvSpPr>
      </xdr:nvSpPr>
      <xdr:spPr bwMode="auto">
        <a:xfrm rot="16380000" flipH="1">
          <a:off x="7029450" y="4133850"/>
          <a:ext cx="219075" cy="2952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419100</xdr:colOff>
      <xdr:row>23</xdr:row>
      <xdr:rowOff>85725</xdr:rowOff>
    </xdr:from>
    <xdr:to>
      <xdr:col>8</xdr:col>
      <xdr:colOff>47625</xdr:colOff>
      <xdr:row>24</xdr:row>
      <xdr:rowOff>133350</xdr:rowOff>
    </xdr:to>
    <xdr:sp macro="" textlink="">
      <xdr:nvSpPr>
        <xdr:cNvPr id="33" name="AutoShape 34">
          <a:extLst>
            <a:ext uri="{FF2B5EF4-FFF2-40B4-BE49-F238E27FC236}">
              <a16:creationId xmlns:a16="http://schemas.microsoft.com/office/drawing/2014/main" id="{C019D1F8-58D6-4595-9B44-FB92768E7801}"/>
            </a:ext>
          </a:extLst>
        </xdr:cNvPr>
        <xdr:cNvSpPr>
          <a:spLocks noChangeArrowheads="1"/>
        </xdr:cNvSpPr>
      </xdr:nvSpPr>
      <xdr:spPr bwMode="auto">
        <a:xfrm rot="16380000" flipH="1">
          <a:off x="4452937" y="4081463"/>
          <a:ext cx="219075" cy="3048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403225</xdr:colOff>
      <xdr:row>10</xdr:row>
      <xdr:rowOff>114300</xdr:rowOff>
    </xdr:from>
    <xdr:to>
      <xdr:col>12</xdr:col>
      <xdr:colOff>330298</xdr:colOff>
      <xdr:row>11</xdr:row>
      <xdr:rowOff>142875</xdr:rowOff>
    </xdr:to>
    <xdr:sp macro="" textlink="">
      <xdr:nvSpPr>
        <xdr:cNvPr id="34" name="AutoShape 36">
          <a:extLst>
            <a:ext uri="{FF2B5EF4-FFF2-40B4-BE49-F238E27FC236}">
              <a16:creationId xmlns:a16="http://schemas.microsoft.com/office/drawing/2014/main" id="{5983DB30-DD20-4272-8BB9-6F5D82C634CF}"/>
            </a:ext>
          </a:extLst>
        </xdr:cNvPr>
        <xdr:cNvSpPr>
          <a:spLocks noChangeArrowheads="1"/>
        </xdr:cNvSpPr>
      </xdr:nvSpPr>
      <xdr:spPr bwMode="auto">
        <a:xfrm>
          <a:off x="7099300" y="1924050"/>
          <a:ext cx="603348" cy="200025"/>
        </a:xfrm>
        <a:prstGeom prst="curvedUpArrow">
          <a:avLst>
            <a:gd name="adj1" fmla="val 56471"/>
            <a:gd name="adj2" fmla="val 112941"/>
            <a:gd name="adj3" fmla="val 41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330200</xdr:colOff>
      <xdr:row>2</xdr:row>
      <xdr:rowOff>88900</xdr:rowOff>
    </xdr:from>
    <xdr:to>
      <xdr:col>12</xdr:col>
      <xdr:colOff>266700</xdr:colOff>
      <xdr:row>3</xdr:row>
      <xdr:rowOff>114300</xdr:rowOff>
    </xdr:to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9DC1D259-B786-450D-9B9B-A57457F6ECD2}"/>
            </a:ext>
          </a:extLst>
        </xdr:cNvPr>
        <xdr:cNvSpPr>
          <a:spLocks noChangeArrowheads="1"/>
        </xdr:cNvSpPr>
      </xdr:nvSpPr>
      <xdr:spPr bwMode="auto">
        <a:xfrm rot="10500000">
          <a:off x="7026275" y="431800"/>
          <a:ext cx="612775" cy="196850"/>
        </a:xfrm>
        <a:prstGeom prst="curvedUpArrow">
          <a:avLst>
            <a:gd name="adj1" fmla="val 60000"/>
            <a:gd name="adj2" fmla="val 120000"/>
            <a:gd name="adj3" fmla="val 41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12</xdr:col>
      <xdr:colOff>190500</xdr:colOff>
      <xdr:row>4</xdr:row>
      <xdr:rowOff>193675</xdr:rowOff>
    </xdr:from>
    <xdr:to>
      <xdr:col>12</xdr:col>
      <xdr:colOff>317500</xdr:colOff>
      <xdr:row>8</xdr:row>
      <xdr:rowOff>165100</xdr:rowOff>
    </xdr:to>
    <xdr:sp macro="" textlink="">
      <xdr:nvSpPr>
        <xdr:cNvPr id="36" name="AutoShape 38">
          <a:extLst>
            <a:ext uri="{FF2B5EF4-FFF2-40B4-BE49-F238E27FC236}">
              <a16:creationId xmlns:a16="http://schemas.microsoft.com/office/drawing/2014/main" id="{16A59C3F-243D-40A3-B68D-0F3271323BB7}"/>
            </a:ext>
          </a:extLst>
        </xdr:cNvPr>
        <xdr:cNvSpPr>
          <a:spLocks noChangeArrowheads="1"/>
        </xdr:cNvSpPr>
      </xdr:nvSpPr>
      <xdr:spPr bwMode="auto">
        <a:xfrm>
          <a:off x="7562850" y="879475"/>
          <a:ext cx="127000" cy="752475"/>
        </a:xfrm>
        <a:prstGeom prst="upArrow">
          <a:avLst>
            <a:gd name="adj1" fmla="val 50000"/>
            <a:gd name="adj2" fmla="val 1525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330200</xdr:colOff>
      <xdr:row>4</xdr:row>
      <xdr:rowOff>193675</xdr:rowOff>
    </xdr:from>
    <xdr:to>
      <xdr:col>11</xdr:col>
      <xdr:colOff>457200</xdr:colOff>
      <xdr:row>8</xdr:row>
      <xdr:rowOff>165100</xdr:rowOff>
    </xdr:to>
    <xdr:sp macro="" textlink="">
      <xdr:nvSpPr>
        <xdr:cNvPr id="37" name="AutoShape 39">
          <a:extLst>
            <a:ext uri="{FF2B5EF4-FFF2-40B4-BE49-F238E27FC236}">
              <a16:creationId xmlns:a16="http://schemas.microsoft.com/office/drawing/2014/main" id="{6B60D74F-4B6A-432C-B352-72A8DD1F1896}"/>
            </a:ext>
          </a:extLst>
        </xdr:cNvPr>
        <xdr:cNvSpPr>
          <a:spLocks noChangeArrowheads="1"/>
        </xdr:cNvSpPr>
      </xdr:nvSpPr>
      <xdr:spPr bwMode="auto">
        <a:xfrm flipV="1">
          <a:off x="7026275" y="879475"/>
          <a:ext cx="127000" cy="752475"/>
        </a:xfrm>
        <a:prstGeom prst="upArrow">
          <a:avLst>
            <a:gd name="adj1" fmla="val 50000"/>
            <a:gd name="adj2" fmla="val 1525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381000</xdr:colOff>
      <xdr:row>0</xdr:row>
      <xdr:rowOff>133350</xdr:rowOff>
    </xdr:from>
    <xdr:to>
      <xdr:col>13</xdr:col>
      <xdr:colOff>476250</xdr:colOff>
      <xdr:row>1</xdr:row>
      <xdr:rowOff>123825</xdr:rowOff>
    </xdr:to>
    <xdr:sp macro="" textlink="">
      <xdr:nvSpPr>
        <xdr:cNvPr id="38" name="Line 40">
          <a:extLst>
            <a:ext uri="{FF2B5EF4-FFF2-40B4-BE49-F238E27FC236}">
              <a16:creationId xmlns:a16="http://schemas.microsoft.com/office/drawing/2014/main" id="{FB0E50C5-E5E8-411D-9935-C682466B7208}"/>
            </a:ext>
          </a:extLst>
        </xdr:cNvPr>
        <xdr:cNvSpPr>
          <a:spLocks noChangeShapeType="1"/>
        </xdr:cNvSpPr>
      </xdr:nvSpPr>
      <xdr:spPr bwMode="auto">
        <a:xfrm flipV="1">
          <a:off x="6400800" y="133350"/>
          <a:ext cx="2124075" cy="161925"/>
        </a:xfrm>
        <a:prstGeom prst="line">
          <a:avLst/>
        </a:prstGeom>
        <a:noFill/>
        <a:ln w="507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1</xdr:row>
      <xdr:rowOff>76200</xdr:rowOff>
    </xdr:from>
    <xdr:to>
      <xdr:col>15</xdr:col>
      <xdr:colOff>596932</xdr:colOff>
      <xdr:row>4</xdr:row>
      <xdr:rowOff>9525</xdr:rowOff>
    </xdr:to>
    <xdr:sp macro="" textlink="" fLocksText="0">
      <xdr:nvSpPr>
        <xdr:cNvPr id="39" name="AutoShape 41">
          <a:extLst>
            <a:ext uri="{FF2B5EF4-FFF2-40B4-BE49-F238E27FC236}">
              <a16:creationId xmlns:a16="http://schemas.microsoft.com/office/drawing/2014/main" id="{27207E07-CF0B-4ED4-B5A8-1298711052F6}"/>
            </a:ext>
          </a:extLst>
        </xdr:cNvPr>
        <xdr:cNvSpPr>
          <a:spLocks noChangeArrowheads="1"/>
        </xdr:cNvSpPr>
      </xdr:nvSpPr>
      <xdr:spPr bwMode="auto">
        <a:xfrm>
          <a:off x="8115300" y="247650"/>
          <a:ext cx="1882807" cy="447675"/>
        </a:xfrm>
        <a:prstGeom prst="wedgeRoundRectCallout">
          <a:avLst>
            <a:gd name="adj1" fmla="val -81486"/>
            <a:gd name="adj2" fmla="val -62292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夢のかけ橋より下流は進入禁止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625475</xdr:colOff>
      <xdr:row>3</xdr:row>
      <xdr:rowOff>117475</xdr:rowOff>
    </xdr:from>
    <xdr:to>
      <xdr:col>11</xdr:col>
      <xdr:colOff>225425</xdr:colOff>
      <xdr:row>9</xdr:row>
      <xdr:rowOff>19161</xdr:rowOff>
    </xdr:to>
    <xdr:sp macro="" textlink="" fLocksText="0">
      <xdr:nvSpPr>
        <xdr:cNvPr id="40" name="Text Box 42">
          <a:extLst>
            <a:ext uri="{FF2B5EF4-FFF2-40B4-BE49-F238E27FC236}">
              <a16:creationId xmlns:a16="http://schemas.microsoft.com/office/drawing/2014/main" id="{2C2C2E60-AE6C-4B50-B12C-1B5B232C5940}"/>
            </a:ext>
          </a:extLst>
        </xdr:cNvPr>
        <xdr:cNvSpPr txBox="1">
          <a:spLocks noChangeArrowheads="1"/>
        </xdr:cNvSpPr>
      </xdr:nvSpPr>
      <xdr:spPr bwMode="auto">
        <a:xfrm>
          <a:off x="6645275" y="631825"/>
          <a:ext cx="276225" cy="102563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0" rIns="3636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練習水域</a:t>
          </a:r>
        </a:p>
      </xdr:txBody>
    </xdr:sp>
    <xdr:clientData/>
  </xdr:twoCellAnchor>
  <xdr:twoCellAnchor>
    <xdr:from>
      <xdr:col>9</xdr:col>
      <xdr:colOff>177800</xdr:colOff>
      <xdr:row>10</xdr:row>
      <xdr:rowOff>142875</xdr:rowOff>
    </xdr:from>
    <xdr:to>
      <xdr:col>9</xdr:col>
      <xdr:colOff>670052</xdr:colOff>
      <xdr:row>12</xdr:row>
      <xdr:rowOff>12851</xdr:rowOff>
    </xdr:to>
    <xdr:sp macro="" textlink="">
      <xdr:nvSpPr>
        <xdr:cNvPr id="41" name="AutoShape 43">
          <a:extLst>
            <a:ext uri="{FF2B5EF4-FFF2-40B4-BE49-F238E27FC236}">
              <a16:creationId xmlns:a16="http://schemas.microsoft.com/office/drawing/2014/main" id="{AF9E5F80-A0A4-4928-A6D7-2F49FBE67B7A}"/>
            </a:ext>
          </a:extLst>
        </xdr:cNvPr>
        <xdr:cNvSpPr>
          <a:spLocks noChangeArrowheads="1"/>
        </xdr:cNvSpPr>
      </xdr:nvSpPr>
      <xdr:spPr bwMode="auto">
        <a:xfrm rot="-5400000">
          <a:off x="5661013" y="1812937"/>
          <a:ext cx="212876" cy="492252"/>
        </a:xfrm>
        <a:prstGeom prst="upArrow">
          <a:avLst>
            <a:gd name="adj1" fmla="val 50000"/>
            <a:gd name="adj2" fmla="val 55882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596900</xdr:colOff>
      <xdr:row>25</xdr:row>
      <xdr:rowOff>114300</xdr:rowOff>
    </xdr:from>
    <xdr:to>
      <xdr:col>14</xdr:col>
      <xdr:colOff>88900</xdr:colOff>
      <xdr:row>26</xdr:row>
      <xdr:rowOff>50800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792EC158-76D7-4B68-A075-3E5516F8C473}"/>
            </a:ext>
          </a:extLst>
        </xdr:cNvPr>
        <xdr:cNvSpPr>
          <a:spLocks noChangeArrowheads="1"/>
        </xdr:cNvSpPr>
      </xdr:nvSpPr>
      <xdr:spPr bwMode="auto">
        <a:xfrm>
          <a:off x="8645525" y="4495800"/>
          <a:ext cx="168275" cy="1079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409575</xdr:colOff>
      <xdr:row>1</xdr:row>
      <xdr:rowOff>114300</xdr:rowOff>
    </xdr:from>
    <xdr:to>
      <xdr:col>8</xdr:col>
      <xdr:colOff>533400</xdr:colOff>
      <xdr:row>1</xdr:row>
      <xdr:rowOff>114300</xdr:rowOff>
    </xdr:to>
    <xdr:sp macro="" textlink="">
      <xdr:nvSpPr>
        <xdr:cNvPr id="43" name="Line 46">
          <a:extLst>
            <a:ext uri="{FF2B5EF4-FFF2-40B4-BE49-F238E27FC236}">
              <a16:creationId xmlns:a16="http://schemas.microsoft.com/office/drawing/2014/main" id="{C8E8CF51-A5DB-44F4-BBC9-6718AB77E06A}"/>
            </a:ext>
          </a:extLst>
        </xdr:cNvPr>
        <xdr:cNvSpPr>
          <a:spLocks noChangeShapeType="1"/>
        </xdr:cNvSpPr>
      </xdr:nvSpPr>
      <xdr:spPr bwMode="auto">
        <a:xfrm flipH="1">
          <a:off x="4400550" y="285750"/>
          <a:ext cx="8001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0</xdr:row>
      <xdr:rowOff>133350</xdr:rowOff>
    </xdr:from>
    <xdr:to>
      <xdr:col>8</xdr:col>
      <xdr:colOff>190500</xdr:colOff>
      <xdr:row>2</xdr:row>
      <xdr:rowOff>57150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F9150E98-D2D6-47EE-9C04-4F2683C740CA}"/>
            </a:ext>
          </a:extLst>
        </xdr:cNvPr>
        <xdr:cNvSpPr>
          <a:spLocks noChangeShapeType="1"/>
        </xdr:cNvSpPr>
      </xdr:nvSpPr>
      <xdr:spPr bwMode="auto">
        <a:xfrm>
          <a:off x="4857750" y="133350"/>
          <a:ext cx="0" cy="2667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266700</xdr:colOff>
      <xdr:row>13</xdr:row>
      <xdr:rowOff>92075</xdr:rowOff>
    </xdr:from>
    <xdr:to>
      <xdr:col>4</xdr:col>
      <xdr:colOff>368300</xdr:colOff>
      <xdr:row>15</xdr:row>
      <xdr:rowOff>76296</xdr:rowOff>
    </xdr:to>
    <xdr:sp macro="" textlink="">
      <xdr:nvSpPr>
        <xdr:cNvPr id="45" name="AutoShape 48">
          <a:extLst>
            <a:ext uri="{FF2B5EF4-FFF2-40B4-BE49-F238E27FC236}">
              <a16:creationId xmlns:a16="http://schemas.microsoft.com/office/drawing/2014/main" id="{3A21477E-0384-4619-8368-401F146B6780}"/>
            </a:ext>
          </a:extLst>
        </xdr:cNvPr>
        <xdr:cNvSpPr>
          <a:spLocks noChangeArrowheads="1"/>
        </xdr:cNvSpPr>
      </xdr:nvSpPr>
      <xdr:spPr bwMode="auto">
        <a:xfrm rot="-5400000">
          <a:off x="2116089" y="2528936"/>
          <a:ext cx="327121" cy="10160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180975</xdr:colOff>
      <xdr:row>15</xdr:row>
      <xdr:rowOff>146050</xdr:rowOff>
    </xdr:from>
    <xdr:to>
      <xdr:col>4</xdr:col>
      <xdr:colOff>409575</xdr:colOff>
      <xdr:row>21</xdr:row>
      <xdr:rowOff>123938</xdr:rowOff>
    </xdr:to>
    <xdr:sp macro="" textlink="" fLocksText="0">
      <xdr:nvSpPr>
        <xdr:cNvPr id="46" name="Rectangle 49">
          <a:extLst>
            <a:ext uri="{FF2B5EF4-FFF2-40B4-BE49-F238E27FC236}">
              <a16:creationId xmlns:a16="http://schemas.microsoft.com/office/drawing/2014/main" id="{85AE0DF8-BA49-4E76-8CC3-0AF5112BEDD2}"/>
            </a:ext>
          </a:extLst>
        </xdr:cNvPr>
        <xdr:cNvSpPr>
          <a:spLocks noChangeArrowheads="1"/>
        </xdr:cNvSpPr>
      </xdr:nvSpPr>
      <xdr:spPr bwMode="auto">
        <a:xfrm>
          <a:off x="2143125" y="2813050"/>
          <a:ext cx="228600" cy="1006588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  <a:p>
          <a:pPr algn="l" rtl="0">
            <a:lnSpc>
              <a:spcPts val="9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38100</xdr:colOff>
      <xdr:row>9</xdr:row>
      <xdr:rowOff>57150</xdr:rowOff>
    </xdr:from>
    <xdr:to>
      <xdr:col>15</xdr:col>
      <xdr:colOff>838200</xdr:colOff>
      <xdr:row>28</xdr:row>
      <xdr:rowOff>76200</xdr:rowOff>
    </xdr:to>
    <xdr:sp macro="" textlink="">
      <xdr:nvSpPr>
        <xdr:cNvPr id="47" name="Freeform 1">
          <a:extLst>
            <a:ext uri="{FF2B5EF4-FFF2-40B4-BE49-F238E27FC236}">
              <a16:creationId xmlns:a16="http://schemas.microsoft.com/office/drawing/2014/main" id="{0926B279-7D7A-4C08-BDF0-ED27C581D113}"/>
            </a:ext>
          </a:extLst>
        </xdr:cNvPr>
        <xdr:cNvSpPr>
          <a:spLocks noChangeArrowheads="1"/>
        </xdr:cNvSpPr>
      </xdr:nvSpPr>
      <xdr:spPr bwMode="auto">
        <a:xfrm>
          <a:off x="8086725" y="1695450"/>
          <a:ext cx="1990725" cy="3276600"/>
        </a:xfrm>
        <a:custGeom>
          <a:avLst/>
          <a:gdLst>
            <a:gd name="T0" fmla="*/ 0 w 251"/>
            <a:gd name="T1" fmla="*/ 2147483647 h 343"/>
            <a:gd name="T2" fmla="*/ 2147483647 w 251"/>
            <a:gd name="T3" fmla="*/ 2147483647 h 343"/>
            <a:gd name="T4" fmla="*/ 2147483647 w 251"/>
            <a:gd name="T5" fmla="*/ 2147483647 h 343"/>
            <a:gd name="T6" fmla="*/ 2147483647 w 251"/>
            <a:gd name="T7" fmla="*/ 2147483647 h 343"/>
            <a:gd name="T8" fmla="*/ 2147483647 w 251"/>
            <a:gd name="T9" fmla="*/ 2147483647 h 343"/>
            <a:gd name="T10" fmla="*/ 2147483647 w 251"/>
            <a:gd name="T11" fmla="*/ 2147483647 h 343"/>
            <a:gd name="T12" fmla="*/ 2147483647 w 251"/>
            <a:gd name="T13" fmla="*/ 2147483647 h 343"/>
            <a:gd name="T14" fmla="*/ 2147483647 w 251"/>
            <a:gd name="T15" fmla="*/ 0 h 343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51"/>
            <a:gd name="T25" fmla="*/ 0 h 343"/>
            <a:gd name="T26" fmla="*/ 251 w 251"/>
            <a:gd name="T27" fmla="*/ 343 h 343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51" h="343">
              <a:moveTo>
                <a:pt x="0" y="343"/>
              </a:moveTo>
              <a:cubicBezTo>
                <a:pt x="6" y="327"/>
                <a:pt x="13" y="311"/>
                <a:pt x="20" y="302"/>
              </a:cubicBezTo>
              <a:cubicBezTo>
                <a:pt x="27" y="293"/>
                <a:pt x="32" y="292"/>
                <a:pt x="40" y="287"/>
              </a:cubicBezTo>
              <a:cubicBezTo>
                <a:pt x="48" y="282"/>
                <a:pt x="40" y="282"/>
                <a:pt x="68" y="272"/>
              </a:cubicBezTo>
              <a:cubicBezTo>
                <a:pt x="96" y="262"/>
                <a:pt x="181" y="254"/>
                <a:pt x="208" y="225"/>
              </a:cubicBezTo>
              <a:cubicBezTo>
                <a:pt x="235" y="196"/>
                <a:pt x="251" y="123"/>
                <a:pt x="229" y="97"/>
              </a:cubicBezTo>
              <a:cubicBezTo>
                <a:pt x="207" y="71"/>
                <a:pt x="105" y="83"/>
                <a:pt x="75" y="67"/>
              </a:cubicBezTo>
              <a:cubicBezTo>
                <a:pt x="45" y="51"/>
                <a:pt x="52" y="11"/>
                <a:pt x="47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190500</xdr:colOff>
      <xdr:row>28</xdr:row>
      <xdr:rowOff>76200</xdr:rowOff>
    </xdr:from>
    <xdr:to>
      <xdr:col>13</xdr:col>
      <xdr:colOff>9525</xdr:colOff>
      <xdr:row>28</xdr:row>
      <xdr:rowOff>76200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A46683CE-4903-4D81-9335-609634813795}"/>
            </a:ext>
          </a:extLst>
        </xdr:cNvPr>
        <xdr:cNvSpPr>
          <a:spLocks noChangeShapeType="1"/>
        </xdr:cNvSpPr>
      </xdr:nvSpPr>
      <xdr:spPr bwMode="auto">
        <a:xfrm>
          <a:off x="6210300" y="4972050"/>
          <a:ext cx="18478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28</xdr:row>
      <xdr:rowOff>76200</xdr:rowOff>
    </xdr:from>
    <xdr:to>
      <xdr:col>8</xdr:col>
      <xdr:colOff>219075</xdr:colOff>
      <xdr:row>28</xdr:row>
      <xdr:rowOff>76200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278653F2-9662-41C7-BFD5-505D04E63D94}"/>
            </a:ext>
          </a:extLst>
        </xdr:cNvPr>
        <xdr:cNvSpPr>
          <a:spLocks noChangeShapeType="1"/>
        </xdr:cNvSpPr>
      </xdr:nvSpPr>
      <xdr:spPr bwMode="auto">
        <a:xfrm>
          <a:off x="3762375" y="4972050"/>
          <a:ext cx="11239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114300</xdr:rowOff>
    </xdr:from>
    <xdr:to>
      <xdr:col>6</xdr:col>
      <xdr:colOff>203200</xdr:colOff>
      <xdr:row>28</xdr:row>
      <xdr:rowOff>54077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id="{F084B20B-53C6-4965-85F8-067D67FEE305}"/>
            </a:ext>
          </a:extLst>
        </xdr:cNvPr>
        <xdr:cNvSpPr>
          <a:spLocks noChangeArrowheads="1"/>
        </xdr:cNvSpPr>
      </xdr:nvSpPr>
      <xdr:spPr bwMode="auto">
        <a:xfrm>
          <a:off x="3314700" y="4667250"/>
          <a:ext cx="203200" cy="282677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520700</xdr:colOff>
      <xdr:row>26</xdr:row>
      <xdr:rowOff>114300</xdr:rowOff>
    </xdr:from>
    <xdr:to>
      <xdr:col>7</xdr:col>
      <xdr:colOff>50800</xdr:colOff>
      <xdr:row>28</xdr:row>
      <xdr:rowOff>92166</xdr:rowOff>
    </xdr:to>
    <xdr:sp macro="" textlink="">
      <xdr:nvSpPr>
        <xdr:cNvPr id="51" name="Rectangle 5">
          <a:extLst>
            <a:ext uri="{FF2B5EF4-FFF2-40B4-BE49-F238E27FC236}">
              <a16:creationId xmlns:a16="http://schemas.microsoft.com/office/drawing/2014/main" id="{A6D6A46B-173C-402A-BDC5-1CE0A746D69C}"/>
            </a:ext>
          </a:extLst>
        </xdr:cNvPr>
        <xdr:cNvSpPr>
          <a:spLocks noChangeArrowheads="1"/>
        </xdr:cNvSpPr>
      </xdr:nvSpPr>
      <xdr:spPr bwMode="auto">
        <a:xfrm>
          <a:off x="3835400" y="4667250"/>
          <a:ext cx="206375" cy="32076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165100</xdr:colOff>
      <xdr:row>26</xdr:row>
      <xdr:rowOff>114300</xdr:rowOff>
    </xdr:from>
    <xdr:to>
      <xdr:col>7</xdr:col>
      <xdr:colOff>368300</xdr:colOff>
      <xdr:row>28</xdr:row>
      <xdr:rowOff>92166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id="{6F9E9016-FDCC-4872-A4B6-ED7966005B0A}"/>
            </a:ext>
          </a:extLst>
        </xdr:cNvPr>
        <xdr:cNvSpPr>
          <a:spLocks noChangeArrowheads="1"/>
        </xdr:cNvSpPr>
      </xdr:nvSpPr>
      <xdr:spPr bwMode="auto">
        <a:xfrm>
          <a:off x="4156075" y="4667250"/>
          <a:ext cx="203200" cy="32076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441325</xdr:colOff>
      <xdr:row>26</xdr:row>
      <xdr:rowOff>92075</xdr:rowOff>
    </xdr:from>
    <xdr:to>
      <xdr:col>7</xdr:col>
      <xdr:colOff>635289</xdr:colOff>
      <xdr:row>28</xdr:row>
      <xdr:rowOff>92075</xdr:rowOff>
    </xdr:to>
    <xdr:sp macro="" textlink="">
      <xdr:nvSpPr>
        <xdr:cNvPr id="53" name="Rectangle 7">
          <a:extLst>
            <a:ext uri="{FF2B5EF4-FFF2-40B4-BE49-F238E27FC236}">
              <a16:creationId xmlns:a16="http://schemas.microsoft.com/office/drawing/2014/main" id="{0FD93EEF-9700-406A-90C5-5ACD1FAEF818}"/>
            </a:ext>
          </a:extLst>
        </xdr:cNvPr>
        <xdr:cNvSpPr>
          <a:spLocks noChangeArrowheads="1"/>
        </xdr:cNvSpPr>
      </xdr:nvSpPr>
      <xdr:spPr bwMode="auto">
        <a:xfrm>
          <a:off x="4432300" y="4645025"/>
          <a:ext cx="193964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330200</xdr:colOff>
      <xdr:row>26</xdr:row>
      <xdr:rowOff>76200</xdr:rowOff>
    </xdr:from>
    <xdr:to>
      <xdr:col>10</xdr:col>
      <xdr:colOff>533400</xdr:colOff>
      <xdr:row>28</xdr:row>
      <xdr:rowOff>92156</xdr:rowOff>
    </xdr:to>
    <xdr:sp macro="" textlink="">
      <xdr:nvSpPr>
        <xdr:cNvPr id="54" name="Rectangle 8">
          <a:extLst>
            <a:ext uri="{FF2B5EF4-FFF2-40B4-BE49-F238E27FC236}">
              <a16:creationId xmlns:a16="http://schemas.microsoft.com/office/drawing/2014/main" id="{F18101D8-ECCD-439D-BA78-EBF5AE59F697}"/>
            </a:ext>
          </a:extLst>
        </xdr:cNvPr>
        <xdr:cNvSpPr>
          <a:spLocks noChangeArrowheads="1"/>
        </xdr:cNvSpPr>
      </xdr:nvSpPr>
      <xdr:spPr bwMode="auto">
        <a:xfrm>
          <a:off x="6350000" y="4629150"/>
          <a:ext cx="203200" cy="35885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0</xdr:colOff>
      <xdr:row>26</xdr:row>
      <xdr:rowOff>53975</xdr:rowOff>
    </xdr:from>
    <xdr:to>
      <xdr:col>11</xdr:col>
      <xdr:colOff>203200</xdr:colOff>
      <xdr:row>28</xdr:row>
      <xdr:rowOff>92075</xdr:rowOff>
    </xdr:to>
    <xdr:sp macro="" textlink="">
      <xdr:nvSpPr>
        <xdr:cNvPr id="55" name="Rectangle 9">
          <a:extLst>
            <a:ext uri="{FF2B5EF4-FFF2-40B4-BE49-F238E27FC236}">
              <a16:creationId xmlns:a16="http://schemas.microsoft.com/office/drawing/2014/main" id="{90DB1EC6-1D2C-4BA2-8CCE-6EA06FFFB37D}"/>
            </a:ext>
          </a:extLst>
        </xdr:cNvPr>
        <xdr:cNvSpPr>
          <a:spLocks noChangeArrowheads="1"/>
        </xdr:cNvSpPr>
      </xdr:nvSpPr>
      <xdr:spPr bwMode="auto">
        <a:xfrm>
          <a:off x="6696075" y="4606925"/>
          <a:ext cx="203200" cy="381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447675</xdr:colOff>
      <xdr:row>28</xdr:row>
      <xdr:rowOff>57150</xdr:rowOff>
    </xdr:from>
    <xdr:to>
      <xdr:col>5</xdr:col>
      <xdr:colOff>647700</xdr:colOff>
      <xdr:row>28</xdr:row>
      <xdr:rowOff>66675</xdr:rowOff>
    </xdr:to>
    <xdr:sp macro="" textlink="">
      <xdr:nvSpPr>
        <xdr:cNvPr id="56" name="Line 11">
          <a:extLst>
            <a:ext uri="{FF2B5EF4-FFF2-40B4-BE49-F238E27FC236}">
              <a16:creationId xmlns:a16="http://schemas.microsoft.com/office/drawing/2014/main" id="{73344EA9-6A53-4D7C-90F0-E423A780098B}"/>
            </a:ext>
          </a:extLst>
        </xdr:cNvPr>
        <xdr:cNvSpPr>
          <a:spLocks noChangeShapeType="1"/>
        </xdr:cNvSpPr>
      </xdr:nvSpPr>
      <xdr:spPr bwMode="auto">
        <a:xfrm flipV="1">
          <a:off x="3086100" y="4953000"/>
          <a:ext cx="200025" cy="95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28</xdr:row>
      <xdr:rowOff>28575</xdr:rowOff>
    </xdr:from>
    <xdr:to>
      <xdr:col>6</xdr:col>
      <xdr:colOff>342900</xdr:colOff>
      <xdr:row>32</xdr:row>
      <xdr:rowOff>38100</xdr:rowOff>
    </xdr:to>
    <xdr:sp macro="" textlink="">
      <xdr:nvSpPr>
        <xdr:cNvPr id="57" name="Freeform 12">
          <a:extLst>
            <a:ext uri="{FF2B5EF4-FFF2-40B4-BE49-F238E27FC236}">
              <a16:creationId xmlns:a16="http://schemas.microsoft.com/office/drawing/2014/main" id="{8FF7D65F-2D48-427B-A2F8-F44AE85680AC}"/>
            </a:ext>
          </a:extLst>
        </xdr:cNvPr>
        <xdr:cNvSpPr>
          <a:spLocks noChangeArrowheads="1"/>
        </xdr:cNvSpPr>
      </xdr:nvSpPr>
      <xdr:spPr bwMode="auto">
        <a:xfrm>
          <a:off x="3505200" y="4924425"/>
          <a:ext cx="152400" cy="695325"/>
        </a:xfrm>
        <a:custGeom>
          <a:avLst/>
          <a:gdLst>
            <a:gd name="T0" fmla="*/ 0 w 16"/>
            <a:gd name="T1" fmla="*/ 2147483647 h 108"/>
            <a:gd name="T2" fmla="*/ 2147483647 w 16"/>
            <a:gd name="T3" fmla="*/ 2147483647 h 108"/>
            <a:gd name="T4" fmla="*/ 2147483647 w 16"/>
            <a:gd name="T5" fmla="*/ 2147483647 h 108"/>
            <a:gd name="T6" fmla="*/ 2147483647 w 16"/>
            <a:gd name="T7" fmla="*/ 2147483647 h 108"/>
            <a:gd name="T8" fmla="*/ 0 60000 65536"/>
            <a:gd name="T9" fmla="*/ 0 60000 65536"/>
            <a:gd name="T10" fmla="*/ 0 60000 65536"/>
            <a:gd name="T11" fmla="*/ 0 60000 65536"/>
            <a:gd name="T12" fmla="*/ 0 w 16"/>
            <a:gd name="T13" fmla="*/ 0 h 108"/>
            <a:gd name="T14" fmla="*/ 16 w 16"/>
            <a:gd name="T15" fmla="*/ 108 h 10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" h="108">
              <a:moveTo>
                <a:pt x="0" y="3"/>
              </a:moveTo>
              <a:cubicBezTo>
                <a:pt x="3" y="2"/>
                <a:pt x="7" y="1"/>
                <a:pt x="9" y="3"/>
              </a:cubicBezTo>
              <a:cubicBezTo>
                <a:pt x="11" y="5"/>
                <a:pt x="14" y="0"/>
                <a:pt x="15" y="17"/>
              </a:cubicBezTo>
              <a:cubicBezTo>
                <a:pt x="16" y="34"/>
                <a:pt x="15" y="92"/>
                <a:pt x="15" y="108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381000</xdr:colOff>
      <xdr:row>28</xdr:row>
      <xdr:rowOff>114300</xdr:rowOff>
    </xdr:from>
    <xdr:to>
      <xdr:col>6</xdr:col>
      <xdr:colOff>457200</xdr:colOff>
      <xdr:row>32</xdr:row>
      <xdr:rowOff>85725</xdr:rowOff>
    </xdr:to>
    <xdr:sp macro="" textlink="">
      <xdr:nvSpPr>
        <xdr:cNvPr id="58" name="Freeform 13">
          <a:extLst>
            <a:ext uri="{FF2B5EF4-FFF2-40B4-BE49-F238E27FC236}">
              <a16:creationId xmlns:a16="http://schemas.microsoft.com/office/drawing/2014/main" id="{F2FDD478-632A-4B82-9817-4A6B02A0BC4C}"/>
            </a:ext>
          </a:extLst>
        </xdr:cNvPr>
        <xdr:cNvSpPr>
          <a:spLocks noChangeArrowheads="1"/>
        </xdr:cNvSpPr>
      </xdr:nvSpPr>
      <xdr:spPr bwMode="auto">
        <a:xfrm>
          <a:off x="3695700" y="5010150"/>
          <a:ext cx="76200" cy="657225"/>
        </a:xfrm>
        <a:custGeom>
          <a:avLst/>
          <a:gdLst>
            <a:gd name="T0" fmla="*/ 2147483647 w 6"/>
            <a:gd name="T1" fmla="*/ 0 h 56"/>
            <a:gd name="T2" fmla="*/ 2147483647 w 6"/>
            <a:gd name="T3" fmla="*/ 2147483647 h 56"/>
            <a:gd name="T4" fmla="*/ 0 w 6"/>
            <a:gd name="T5" fmla="*/ 2147483647 h 56"/>
            <a:gd name="T6" fmla="*/ 0 60000 65536"/>
            <a:gd name="T7" fmla="*/ 0 60000 65536"/>
            <a:gd name="T8" fmla="*/ 0 60000 65536"/>
            <a:gd name="T9" fmla="*/ 0 w 6"/>
            <a:gd name="T10" fmla="*/ 0 h 56"/>
            <a:gd name="T11" fmla="*/ 6 w 6"/>
            <a:gd name="T12" fmla="*/ 56 h 5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" h="56">
              <a:moveTo>
                <a:pt x="6" y="0"/>
              </a:moveTo>
              <a:cubicBezTo>
                <a:pt x="4" y="2"/>
                <a:pt x="2" y="4"/>
                <a:pt x="1" y="13"/>
              </a:cubicBezTo>
              <a:cubicBezTo>
                <a:pt x="0" y="22"/>
                <a:pt x="0" y="49"/>
                <a:pt x="0" y="56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27</xdr:row>
      <xdr:rowOff>28575</xdr:rowOff>
    </xdr:from>
    <xdr:to>
      <xdr:col>10</xdr:col>
      <xdr:colOff>161925</xdr:colOff>
      <xdr:row>28</xdr:row>
      <xdr:rowOff>95250</xdr:rowOff>
    </xdr:to>
    <xdr:sp macro="" textlink="">
      <xdr:nvSpPr>
        <xdr:cNvPr id="59" name="Freeform 14">
          <a:extLst>
            <a:ext uri="{FF2B5EF4-FFF2-40B4-BE49-F238E27FC236}">
              <a16:creationId xmlns:a16="http://schemas.microsoft.com/office/drawing/2014/main" id="{777C25A4-CEE9-4ED3-8555-EE76DDA05BE5}"/>
            </a:ext>
          </a:extLst>
        </xdr:cNvPr>
        <xdr:cNvSpPr>
          <a:spLocks noChangeArrowheads="1"/>
        </xdr:cNvSpPr>
      </xdr:nvSpPr>
      <xdr:spPr bwMode="auto">
        <a:xfrm>
          <a:off x="4857750" y="4752975"/>
          <a:ext cx="1323975" cy="238125"/>
        </a:xfrm>
        <a:custGeom>
          <a:avLst/>
          <a:gdLst>
            <a:gd name="T0" fmla="*/ 0 w 142"/>
            <a:gd name="T1" fmla="*/ 2147483647 h 25"/>
            <a:gd name="T2" fmla="*/ 2147483647 w 142"/>
            <a:gd name="T3" fmla="*/ 2147483647 h 25"/>
            <a:gd name="T4" fmla="*/ 2147483647 w 142"/>
            <a:gd name="T5" fmla="*/ 2147483647 h 25"/>
            <a:gd name="T6" fmla="*/ 2147483647 w 142"/>
            <a:gd name="T7" fmla="*/ 2147483647 h 25"/>
            <a:gd name="T8" fmla="*/ 2147483647 w 142"/>
            <a:gd name="T9" fmla="*/ 2147483647 h 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42"/>
            <a:gd name="T16" fmla="*/ 0 h 25"/>
            <a:gd name="T17" fmla="*/ 142 w 142"/>
            <a:gd name="T18" fmla="*/ 25 h 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42" h="25">
              <a:moveTo>
                <a:pt x="0" y="23"/>
              </a:moveTo>
              <a:cubicBezTo>
                <a:pt x="1" y="5"/>
                <a:pt x="10" y="4"/>
                <a:pt x="27" y="2"/>
              </a:cubicBezTo>
              <a:cubicBezTo>
                <a:pt x="42" y="2"/>
                <a:pt x="123" y="0"/>
                <a:pt x="132" y="6"/>
              </a:cubicBezTo>
              <a:cubicBezTo>
                <a:pt x="133" y="10"/>
                <a:pt x="139" y="15"/>
                <a:pt x="139" y="15"/>
              </a:cubicBezTo>
              <a:cubicBezTo>
                <a:pt x="140" y="18"/>
                <a:pt x="142" y="22"/>
                <a:pt x="142" y="25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13</xdr:row>
      <xdr:rowOff>114300</xdr:rowOff>
    </xdr:from>
    <xdr:to>
      <xdr:col>7</xdr:col>
      <xdr:colOff>666750</xdr:colOff>
      <xdr:row>15</xdr:row>
      <xdr:rowOff>142875</xdr:rowOff>
    </xdr:to>
    <xdr:sp macro="" textlink="">
      <xdr:nvSpPr>
        <xdr:cNvPr id="60" name="AutoShape 15">
          <a:extLst>
            <a:ext uri="{FF2B5EF4-FFF2-40B4-BE49-F238E27FC236}">
              <a16:creationId xmlns:a16="http://schemas.microsoft.com/office/drawing/2014/main" id="{69A06D1A-2B57-4F3F-98E1-09F5CA0872EE}"/>
            </a:ext>
          </a:extLst>
        </xdr:cNvPr>
        <xdr:cNvSpPr>
          <a:spLocks noChangeArrowheads="1"/>
        </xdr:cNvSpPr>
      </xdr:nvSpPr>
      <xdr:spPr bwMode="auto">
        <a:xfrm>
          <a:off x="4219575" y="2438400"/>
          <a:ext cx="438150" cy="3714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638175</xdr:colOff>
      <xdr:row>13</xdr:row>
      <xdr:rowOff>114300</xdr:rowOff>
    </xdr:from>
    <xdr:to>
      <xdr:col>11</xdr:col>
      <xdr:colOff>342900</xdr:colOff>
      <xdr:row>15</xdr:row>
      <xdr:rowOff>133350</xdr:rowOff>
    </xdr:to>
    <xdr:sp macro="" textlink="">
      <xdr:nvSpPr>
        <xdr:cNvPr id="61" name="AutoShape 16">
          <a:extLst>
            <a:ext uri="{FF2B5EF4-FFF2-40B4-BE49-F238E27FC236}">
              <a16:creationId xmlns:a16="http://schemas.microsoft.com/office/drawing/2014/main" id="{57877064-6E4A-46AB-B4CD-9DE173C3B546}"/>
            </a:ext>
          </a:extLst>
        </xdr:cNvPr>
        <xdr:cNvSpPr>
          <a:spLocks noChangeArrowheads="1"/>
        </xdr:cNvSpPr>
      </xdr:nvSpPr>
      <xdr:spPr bwMode="auto">
        <a:xfrm>
          <a:off x="6657975" y="2438400"/>
          <a:ext cx="381000" cy="3619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666750</xdr:colOff>
      <xdr:row>26</xdr:row>
      <xdr:rowOff>9525</xdr:rowOff>
    </xdr:from>
    <xdr:to>
      <xdr:col>5</xdr:col>
      <xdr:colOff>419100</xdr:colOff>
      <xdr:row>28</xdr:row>
      <xdr:rowOff>57150</xdr:rowOff>
    </xdr:to>
    <xdr:sp macro="" textlink="">
      <xdr:nvSpPr>
        <xdr:cNvPr id="62" name="Freeform 19">
          <a:extLst>
            <a:ext uri="{FF2B5EF4-FFF2-40B4-BE49-F238E27FC236}">
              <a16:creationId xmlns:a16="http://schemas.microsoft.com/office/drawing/2014/main" id="{4F0F12AE-360C-438A-8723-12A84B8951CD}"/>
            </a:ext>
          </a:extLst>
        </xdr:cNvPr>
        <xdr:cNvSpPr>
          <a:spLocks noChangeArrowheads="1"/>
        </xdr:cNvSpPr>
      </xdr:nvSpPr>
      <xdr:spPr bwMode="auto">
        <a:xfrm>
          <a:off x="1743075" y="4562475"/>
          <a:ext cx="1314450" cy="390525"/>
        </a:xfrm>
        <a:custGeom>
          <a:avLst/>
          <a:gdLst>
            <a:gd name="T0" fmla="*/ 0 w 118"/>
            <a:gd name="T1" fmla="*/ 2147483647 h 42"/>
            <a:gd name="T2" fmla="*/ 2147483647 w 118"/>
            <a:gd name="T3" fmla="*/ 2147483647 h 42"/>
            <a:gd name="T4" fmla="*/ 2147483647 w 118"/>
            <a:gd name="T5" fmla="*/ 2147483647 h 42"/>
            <a:gd name="T6" fmla="*/ 2147483647 w 118"/>
            <a:gd name="T7" fmla="*/ 2147483647 h 42"/>
            <a:gd name="T8" fmla="*/ 0 60000 65536"/>
            <a:gd name="T9" fmla="*/ 0 60000 65536"/>
            <a:gd name="T10" fmla="*/ 0 60000 65536"/>
            <a:gd name="T11" fmla="*/ 0 60000 65536"/>
            <a:gd name="T12" fmla="*/ 0 w 118"/>
            <a:gd name="T13" fmla="*/ 0 h 42"/>
            <a:gd name="T14" fmla="*/ 118 w 118"/>
            <a:gd name="T15" fmla="*/ 42 h 4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" h="42">
              <a:moveTo>
                <a:pt x="0" y="25"/>
              </a:moveTo>
              <a:cubicBezTo>
                <a:pt x="9" y="17"/>
                <a:pt x="18" y="10"/>
                <a:pt x="34" y="7"/>
              </a:cubicBezTo>
              <a:cubicBezTo>
                <a:pt x="50" y="4"/>
                <a:pt x="82" y="0"/>
                <a:pt x="96" y="6"/>
              </a:cubicBezTo>
              <a:cubicBezTo>
                <a:pt x="110" y="12"/>
                <a:pt x="114" y="36"/>
                <a:pt x="118" y="42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9</xdr:row>
      <xdr:rowOff>142875</xdr:rowOff>
    </xdr:from>
    <xdr:to>
      <xdr:col>10</xdr:col>
      <xdr:colOff>123825</xdr:colOff>
      <xdr:row>14</xdr:row>
      <xdr:rowOff>133350</xdr:rowOff>
    </xdr:to>
    <xdr:sp macro="" textlink="">
      <xdr:nvSpPr>
        <xdr:cNvPr id="63" name="Line 20">
          <a:extLst>
            <a:ext uri="{FF2B5EF4-FFF2-40B4-BE49-F238E27FC236}">
              <a16:creationId xmlns:a16="http://schemas.microsoft.com/office/drawing/2014/main" id="{5A2E740B-6F49-404F-8BAA-43DD70D70C66}"/>
            </a:ext>
          </a:extLst>
        </xdr:cNvPr>
        <xdr:cNvSpPr>
          <a:spLocks noChangeShapeType="1"/>
        </xdr:cNvSpPr>
      </xdr:nvSpPr>
      <xdr:spPr bwMode="auto">
        <a:xfrm flipV="1">
          <a:off x="428625" y="1781175"/>
          <a:ext cx="5715000" cy="847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5</xdr:row>
      <xdr:rowOff>95250</xdr:rowOff>
    </xdr:from>
    <xdr:to>
      <xdr:col>10</xdr:col>
      <xdr:colOff>485775</xdr:colOff>
      <xdr:row>9</xdr:row>
      <xdr:rowOff>133350</xdr:rowOff>
    </xdr:to>
    <xdr:sp macro="" textlink="">
      <xdr:nvSpPr>
        <xdr:cNvPr id="64" name="Freeform 21">
          <a:extLst>
            <a:ext uri="{FF2B5EF4-FFF2-40B4-BE49-F238E27FC236}">
              <a16:creationId xmlns:a16="http://schemas.microsoft.com/office/drawing/2014/main" id="{B3A04DFC-095B-4D53-AAEA-37707475B088}"/>
            </a:ext>
          </a:extLst>
        </xdr:cNvPr>
        <xdr:cNvSpPr>
          <a:spLocks noChangeArrowheads="1"/>
        </xdr:cNvSpPr>
      </xdr:nvSpPr>
      <xdr:spPr bwMode="auto">
        <a:xfrm>
          <a:off x="6134100" y="1047750"/>
          <a:ext cx="371475" cy="723900"/>
        </a:xfrm>
        <a:custGeom>
          <a:avLst/>
          <a:gdLst>
            <a:gd name="T0" fmla="*/ 0 w 40"/>
            <a:gd name="T1" fmla="*/ 2147483647 h 59"/>
            <a:gd name="T2" fmla="*/ 2147483647 w 40"/>
            <a:gd name="T3" fmla="*/ 2147483647 h 59"/>
            <a:gd name="T4" fmla="*/ 2147483647 w 40"/>
            <a:gd name="T5" fmla="*/ 2147483647 h 59"/>
            <a:gd name="T6" fmla="*/ 2147483647 w 40"/>
            <a:gd name="T7" fmla="*/ 0 h 59"/>
            <a:gd name="T8" fmla="*/ 0 60000 65536"/>
            <a:gd name="T9" fmla="*/ 0 60000 65536"/>
            <a:gd name="T10" fmla="*/ 0 60000 65536"/>
            <a:gd name="T11" fmla="*/ 0 60000 65536"/>
            <a:gd name="T12" fmla="*/ 0 w 40"/>
            <a:gd name="T13" fmla="*/ 0 h 59"/>
            <a:gd name="T14" fmla="*/ 40 w 40"/>
            <a:gd name="T15" fmla="*/ 59 h 5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0" h="59">
              <a:moveTo>
                <a:pt x="0" y="59"/>
              </a:moveTo>
              <a:cubicBezTo>
                <a:pt x="9" y="59"/>
                <a:pt x="19" y="59"/>
                <a:pt x="25" y="55"/>
              </a:cubicBezTo>
              <a:cubicBezTo>
                <a:pt x="31" y="51"/>
                <a:pt x="34" y="43"/>
                <a:pt x="36" y="34"/>
              </a:cubicBezTo>
              <a:cubicBezTo>
                <a:pt x="38" y="25"/>
                <a:pt x="39" y="6"/>
                <a:pt x="4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492125</xdr:colOff>
      <xdr:row>7</xdr:row>
      <xdr:rowOff>146050</xdr:rowOff>
    </xdr:from>
    <xdr:to>
      <xdr:col>6</xdr:col>
      <xdr:colOff>549275</xdr:colOff>
      <xdr:row>11</xdr:row>
      <xdr:rowOff>47705</xdr:rowOff>
    </xdr:to>
    <xdr:sp macro="" textlink="" fLocksText="0">
      <xdr:nvSpPr>
        <xdr:cNvPr id="65" name="AutoShape 22">
          <a:extLst>
            <a:ext uri="{FF2B5EF4-FFF2-40B4-BE49-F238E27FC236}">
              <a16:creationId xmlns:a16="http://schemas.microsoft.com/office/drawing/2014/main" id="{145422F5-72EB-4197-9C29-DB51334F158F}"/>
            </a:ext>
          </a:extLst>
        </xdr:cNvPr>
        <xdr:cNvSpPr>
          <a:spLocks noChangeArrowheads="1"/>
        </xdr:cNvSpPr>
      </xdr:nvSpPr>
      <xdr:spPr bwMode="auto">
        <a:xfrm>
          <a:off x="2454275" y="1441450"/>
          <a:ext cx="1409700" cy="587455"/>
        </a:xfrm>
        <a:prstGeom prst="wedgeRoundRectCallout">
          <a:avLst>
            <a:gd name="adj1" fmla="val -11750"/>
            <a:gd name="adj2" fmla="val 47060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待機場所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1100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ｍ付近で待機。</a:t>
          </a:r>
        </a:p>
      </xdr:txBody>
    </xdr:sp>
    <xdr:clientData/>
  </xdr:twoCellAnchor>
  <xdr:twoCellAnchor>
    <xdr:from>
      <xdr:col>14</xdr:col>
      <xdr:colOff>635000</xdr:colOff>
      <xdr:row>25</xdr:row>
      <xdr:rowOff>38099</xdr:rowOff>
    </xdr:from>
    <xdr:to>
      <xdr:col>16</xdr:col>
      <xdr:colOff>0</xdr:colOff>
      <xdr:row>28</xdr:row>
      <xdr:rowOff>85724</xdr:rowOff>
    </xdr:to>
    <xdr:sp macro="" textlink="" fLocksText="0">
      <xdr:nvSpPr>
        <xdr:cNvPr id="66" name="AutoShape 23">
          <a:extLst>
            <a:ext uri="{FF2B5EF4-FFF2-40B4-BE49-F238E27FC236}">
              <a16:creationId xmlns:a16="http://schemas.microsoft.com/office/drawing/2014/main" id="{69980A88-DA3C-4A52-AD62-291AFC3035D1}"/>
            </a:ext>
          </a:extLst>
        </xdr:cNvPr>
        <xdr:cNvSpPr>
          <a:spLocks noChangeArrowheads="1"/>
        </xdr:cNvSpPr>
      </xdr:nvSpPr>
      <xdr:spPr bwMode="auto">
        <a:xfrm>
          <a:off x="9359900" y="4419599"/>
          <a:ext cx="717550" cy="561975"/>
        </a:xfrm>
        <a:prstGeom prst="wedgeRectCallout">
          <a:avLst>
            <a:gd name="adj1" fmla="val -106861"/>
            <a:gd name="adj2" fmla="val -16333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en-US" altLang="ja-JP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ﾚｰﾝと岸との間が狭いので注意</a:t>
          </a:r>
        </a:p>
      </xdr:txBody>
    </xdr:sp>
    <xdr:clientData/>
  </xdr:twoCellAnchor>
  <xdr:twoCellAnchor>
    <xdr:from>
      <xdr:col>0</xdr:col>
      <xdr:colOff>114300</xdr:colOff>
      <xdr:row>1</xdr:row>
      <xdr:rowOff>38100</xdr:rowOff>
    </xdr:from>
    <xdr:to>
      <xdr:col>7</xdr:col>
      <xdr:colOff>6371</xdr:colOff>
      <xdr:row>4</xdr:row>
      <xdr:rowOff>165100</xdr:rowOff>
    </xdr:to>
    <xdr:sp macro="" textlink="" fLocksText="0">
      <xdr:nvSpPr>
        <xdr:cNvPr id="67" name="Text Box 24">
          <a:extLst>
            <a:ext uri="{FF2B5EF4-FFF2-40B4-BE49-F238E27FC236}">
              <a16:creationId xmlns:a16="http://schemas.microsoft.com/office/drawing/2014/main" id="{3B3A8D47-F9D8-4024-94FD-1C7B0B80A080}"/>
            </a:ext>
          </a:extLst>
        </xdr:cNvPr>
        <xdr:cNvSpPr txBox="1">
          <a:spLocks noChangeArrowheads="1"/>
        </xdr:cNvSpPr>
      </xdr:nvSpPr>
      <xdr:spPr bwMode="auto">
        <a:xfrm>
          <a:off x="114300" y="209550"/>
          <a:ext cx="3883046" cy="64135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18000" rIns="36360" bIns="18000" anchor="ctr" upright="1"/>
        <a:lstStyle/>
        <a:p>
          <a:pPr algn="ctr" rtl="0"/>
          <a:r>
            <a:rPr lang="ja-JP" altLang="en-US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県総体１次</a:t>
          </a:r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予選</a:t>
          </a:r>
          <a:r>
            <a:rPr lang="ja-JP" altLang="en-US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航行ルール(ﾚｰｽ時)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試合日の試合開始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時間前より、試合終了３０分後まで。</a:t>
          </a:r>
        </a:p>
        <a:p>
          <a:pPr algn="ctr" rtl="0">
            <a:defRPr sz="1000"/>
          </a:pPr>
          <a:endParaRPr lang="ja-JP" altLang="en-US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9525</xdr:colOff>
      <xdr:row>23</xdr:row>
      <xdr:rowOff>76200</xdr:rowOff>
    </xdr:from>
    <xdr:to>
      <xdr:col>3</xdr:col>
      <xdr:colOff>647700</xdr:colOff>
      <xdr:row>27</xdr:row>
      <xdr:rowOff>95250</xdr:rowOff>
    </xdr:to>
    <xdr:sp macro="" textlink="">
      <xdr:nvSpPr>
        <xdr:cNvPr id="68" name="Line 25">
          <a:extLst>
            <a:ext uri="{FF2B5EF4-FFF2-40B4-BE49-F238E27FC236}">
              <a16:creationId xmlns:a16="http://schemas.microsoft.com/office/drawing/2014/main" id="{B0FCE47C-20EF-4EA0-A04B-814BB77015A1}"/>
            </a:ext>
          </a:extLst>
        </xdr:cNvPr>
        <xdr:cNvSpPr>
          <a:spLocks noChangeShapeType="1"/>
        </xdr:cNvSpPr>
      </xdr:nvSpPr>
      <xdr:spPr bwMode="auto">
        <a:xfrm flipH="1" flipV="1">
          <a:off x="409575" y="4114800"/>
          <a:ext cx="1314450" cy="7048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12</xdr:row>
      <xdr:rowOff>95250</xdr:rowOff>
    </xdr:from>
    <xdr:to>
      <xdr:col>12</xdr:col>
      <xdr:colOff>590550</xdr:colOff>
      <xdr:row>14</xdr:row>
      <xdr:rowOff>57150</xdr:rowOff>
    </xdr:to>
    <xdr:sp macro="" textlink="">
      <xdr:nvSpPr>
        <xdr:cNvPr id="69" name="AutoShape 26">
          <a:extLst>
            <a:ext uri="{FF2B5EF4-FFF2-40B4-BE49-F238E27FC236}">
              <a16:creationId xmlns:a16="http://schemas.microsoft.com/office/drawing/2014/main" id="{2E275037-B059-4C56-BA3E-A3D529FB879E}"/>
            </a:ext>
          </a:extLst>
        </xdr:cNvPr>
        <xdr:cNvSpPr>
          <a:spLocks noChangeArrowheads="1"/>
        </xdr:cNvSpPr>
      </xdr:nvSpPr>
      <xdr:spPr bwMode="auto">
        <a:xfrm rot="5280000" flipH="1">
          <a:off x="7529513" y="2119312"/>
          <a:ext cx="304800" cy="5619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485775</xdr:colOff>
      <xdr:row>2</xdr:row>
      <xdr:rowOff>28575</xdr:rowOff>
    </xdr:from>
    <xdr:to>
      <xdr:col>10</xdr:col>
      <xdr:colOff>485775</xdr:colOff>
      <xdr:row>5</xdr:row>
      <xdr:rowOff>57150</xdr:rowOff>
    </xdr:to>
    <xdr:sp macro="" textlink="">
      <xdr:nvSpPr>
        <xdr:cNvPr id="70" name="Freeform 27">
          <a:extLst>
            <a:ext uri="{FF2B5EF4-FFF2-40B4-BE49-F238E27FC236}">
              <a16:creationId xmlns:a16="http://schemas.microsoft.com/office/drawing/2014/main" id="{D730B217-3845-4EC0-BA07-F2E98B2F3FDF}"/>
            </a:ext>
          </a:extLst>
        </xdr:cNvPr>
        <xdr:cNvSpPr>
          <a:spLocks noChangeArrowheads="1"/>
        </xdr:cNvSpPr>
      </xdr:nvSpPr>
      <xdr:spPr bwMode="auto">
        <a:xfrm>
          <a:off x="6505575" y="371475"/>
          <a:ext cx="0" cy="638175"/>
        </a:xfrm>
        <a:custGeom>
          <a:avLst/>
          <a:gdLst>
            <a:gd name="T0" fmla="*/ 2147483646 w 1"/>
            <a:gd name="T1" fmla="*/ 2147483647 h 68"/>
            <a:gd name="T2" fmla="*/ 0 w 1"/>
            <a:gd name="T3" fmla="*/ 0 h 68"/>
            <a:gd name="T4" fmla="*/ 0 60000 65536"/>
            <a:gd name="T5" fmla="*/ 0 60000 65536"/>
            <a:gd name="T6" fmla="*/ 0 w 1"/>
            <a:gd name="T7" fmla="*/ 0 h 68"/>
            <a:gd name="T8" fmla="*/ 0 w 1"/>
            <a:gd name="T9" fmla="*/ 68 h 68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68">
              <a:moveTo>
                <a:pt x="1" y="68"/>
              </a:moveTo>
              <a:cubicBezTo>
                <a:pt x="0" y="39"/>
                <a:pt x="0" y="11"/>
                <a:pt x="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266700</xdr:colOff>
      <xdr:row>2</xdr:row>
      <xdr:rowOff>28575</xdr:rowOff>
    </xdr:from>
    <xdr:to>
      <xdr:col>13</xdr:col>
      <xdr:colOff>438150</xdr:colOff>
      <xdr:row>9</xdr:row>
      <xdr:rowOff>47625</xdr:rowOff>
    </xdr:to>
    <xdr:sp macro="" textlink="">
      <xdr:nvSpPr>
        <xdr:cNvPr id="71" name="Freeform 28">
          <a:extLst>
            <a:ext uri="{FF2B5EF4-FFF2-40B4-BE49-F238E27FC236}">
              <a16:creationId xmlns:a16="http://schemas.microsoft.com/office/drawing/2014/main" id="{0A333690-87E3-44D2-B11B-097F9E57A4E0}"/>
            </a:ext>
          </a:extLst>
        </xdr:cNvPr>
        <xdr:cNvSpPr>
          <a:spLocks noChangeArrowheads="1"/>
        </xdr:cNvSpPr>
      </xdr:nvSpPr>
      <xdr:spPr bwMode="auto">
        <a:xfrm>
          <a:off x="8315325" y="371475"/>
          <a:ext cx="171450" cy="1314450"/>
        </a:xfrm>
        <a:custGeom>
          <a:avLst/>
          <a:gdLst>
            <a:gd name="T0" fmla="*/ 2147483647 w 17"/>
            <a:gd name="T1" fmla="*/ 2147483647 h 138"/>
            <a:gd name="T2" fmla="*/ 2147483647 w 17"/>
            <a:gd name="T3" fmla="*/ 2147483647 h 138"/>
            <a:gd name="T4" fmla="*/ 2147483647 w 17"/>
            <a:gd name="T5" fmla="*/ 2147483647 h 138"/>
            <a:gd name="T6" fmla="*/ 0 w 17"/>
            <a:gd name="T7" fmla="*/ 0 h 138"/>
            <a:gd name="T8" fmla="*/ 0 60000 65536"/>
            <a:gd name="T9" fmla="*/ 0 60000 65536"/>
            <a:gd name="T10" fmla="*/ 0 60000 65536"/>
            <a:gd name="T11" fmla="*/ 0 60000 65536"/>
            <a:gd name="T12" fmla="*/ 0 w 17"/>
            <a:gd name="T13" fmla="*/ 0 h 138"/>
            <a:gd name="T14" fmla="*/ 17 w 17"/>
            <a:gd name="T15" fmla="*/ 138 h 13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7" h="138">
              <a:moveTo>
                <a:pt x="17" y="138"/>
              </a:moveTo>
              <a:cubicBezTo>
                <a:pt x="12" y="107"/>
                <a:pt x="7" y="77"/>
                <a:pt x="4" y="57"/>
              </a:cubicBezTo>
              <a:cubicBezTo>
                <a:pt x="1" y="37"/>
                <a:pt x="2" y="24"/>
                <a:pt x="1" y="15"/>
              </a:cubicBezTo>
              <a:cubicBezTo>
                <a:pt x="0" y="6"/>
                <a:pt x="0" y="2"/>
                <a:pt x="0" y="0"/>
              </a:cubicBezTo>
            </a:path>
          </a:pathLst>
        </a:cu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596900</xdr:colOff>
      <xdr:row>3</xdr:row>
      <xdr:rowOff>88900</xdr:rowOff>
    </xdr:from>
    <xdr:to>
      <xdr:col>12</xdr:col>
      <xdr:colOff>38100</xdr:colOff>
      <xdr:row>4</xdr:row>
      <xdr:rowOff>25400</xdr:rowOff>
    </xdr:to>
    <xdr:sp macro="" textlink="">
      <xdr:nvSpPr>
        <xdr:cNvPr id="72" name="Oval 29">
          <a:extLst>
            <a:ext uri="{FF2B5EF4-FFF2-40B4-BE49-F238E27FC236}">
              <a16:creationId xmlns:a16="http://schemas.microsoft.com/office/drawing/2014/main" id="{4EBAAF56-E11A-4A18-BDBE-D31D47B3AA02}"/>
            </a:ext>
          </a:extLst>
        </xdr:cNvPr>
        <xdr:cNvSpPr>
          <a:spLocks noChangeArrowheads="1"/>
        </xdr:cNvSpPr>
      </xdr:nvSpPr>
      <xdr:spPr bwMode="auto">
        <a:xfrm>
          <a:off x="7292975" y="603250"/>
          <a:ext cx="117475" cy="10795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631825</xdr:colOff>
      <xdr:row>9</xdr:row>
      <xdr:rowOff>168275</xdr:rowOff>
    </xdr:from>
    <xdr:to>
      <xdr:col>12</xdr:col>
      <xdr:colOff>50800</xdr:colOff>
      <xdr:row>10</xdr:row>
      <xdr:rowOff>114300</xdr:rowOff>
    </xdr:to>
    <xdr:sp macro="" textlink="">
      <xdr:nvSpPr>
        <xdr:cNvPr id="73" name="Oval 30">
          <a:extLst>
            <a:ext uri="{FF2B5EF4-FFF2-40B4-BE49-F238E27FC236}">
              <a16:creationId xmlns:a16="http://schemas.microsoft.com/office/drawing/2014/main" id="{C08B8757-D5C0-47BF-BF9E-734E5D5C95FB}"/>
            </a:ext>
          </a:extLst>
        </xdr:cNvPr>
        <xdr:cNvSpPr>
          <a:spLocks noChangeArrowheads="1"/>
        </xdr:cNvSpPr>
      </xdr:nvSpPr>
      <xdr:spPr bwMode="auto">
        <a:xfrm>
          <a:off x="7327900" y="1806575"/>
          <a:ext cx="95250" cy="1174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12</xdr:col>
      <xdr:colOff>514350</xdr:colOff>
      <xdr:row>23</xdr:row>
      <xdr:rowOff>142875</xdr:rowOff>
    </xdr:from>
    <xdr:to>
      <xdr:col>13</xdr:col>
      <xdr:colOff>447675</xdr:colOff>
      <xdr:row>23</xdr:row>
      <xdr:rowOff>142875</xdr:rowOff>
    </xdr:to>
    <xdr:sp macro="" textlink="">
      <xdr:nvSpPr>
        <xdr:cNvPr id="74" name="Line 31">
          <a:extLst>
            <a:ext uri="{FF2B5EF4-FFF2-40B4-BE49-F238E27FC236}">
              <a16:creationId xmlns:a16="http://schemas.microsoft.com/office/drawing/2014/main" id="{6ED40B3D-E850-4E3F-8B4A-4855580CF626}"/>
            </a:ext>
          </a:extLst>
        </xdr:cNvPr>
        <xdr:cNvSpPr>
          <a:spLocks noChangeShapeType="1"/>
        </xdr:cNvSpPr>
      </xdr:nvSpPr>
      <xdr:spPr bwMode="auto">
        <a:xfrm flipH="1">
          <a:off x="7886700" y="4181475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23</xdr:row>
      <xdr:rowOff>171450</xdr:rowOff>
    </xdr:from>
    <xdr:to>
      <xdr:col>10</xdr:col>
      <xdr:colOff>85725</xdr:colOff>
      <xdr:row>23</xdr:row>
      <xdr:rowOff>171450</xdr:rowOff>
    </xdr:to>
    <xdr:sp macro="" textlink="">
      <xdr:nvSpPr>
        <xdr:cNvPr id="75" name="Line 32">
          <a:extLst>
            <a:ext uri="{FF2B5EF4-FFF2-40B4-BE49-F238E27FC236}">
              <a16:creationId xmlns:a16="http://schemas.microsoft.com/office/drawing/2014/main" id="{4079BF3C-CA78-4C48-B842-396A79AFF069}"/>
            </a:ext>
          </a:extLst>
        </xdr:cNvPr>
        <xdr:cNvSpPr>
          <a:spLocks noChangeShapeType="1"/>
        </xdr:cNvSpPr>
      </xdr:nvSpPr>
      <xdr:spPr bwMode="auto">
        <a:xfrm flipH="1">
          <a:off x="5495925" y="4210050"/>
          <a:ext cx="609600" cy="0"/>
        </a:xfrm>
        <a:prstGeom prst="line">
          <a:avLst/>
        </a:prstGeom>
        <a:noFill/>
        <a:ln w="5724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165100</xdr:colOff>
      <xdr:row>17</xdr:row>
      <xdr:rowOff>114300</xdr:rowOff>
    </xdr:from>
    <xdr:to>
      <xdr:col>7</xdr:col>
      <xdr:colOff>365125</xdr:colOff>
      <xdr:row>24</xdr:row>
      <xdr:rowOff>38100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4D2A77EB-2594-4C17-A14E-433908549CD6}"/>
            </a:ext>
          </a:extLst>
        </xdr:cNvPr>
        <xdr:cNvSpPr>
          <a:spLocks noChangeArrowheads="1"/>
        </xdr:cNvSpPr>
      </xdr:nvSpPr>
      <xdr:spPr bwMode="auto">
        <a:xfrm>
          <a:off x="4156075" y="3124200"/>
          <a:ext cx="200025" cy="1123950"/>
        </a:xfrm>
        <a:prstGeom prst="upArrow">
          <a:avLst>
            <a:gd name="adj1" fmla="val 50000"/>
            <a:gd name="adj2" fmla="val 15333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635000</xdr:colOff>
      <xdr:row>17</xdr:row>
      <xdr:rowOff>127000</xdr:rowOff>
    </xdr:from>
    <xdr:to>
      <xdr:col>11</xdr:col>
      <xdr:colOff>165100</xdr:colOff>
      <xdr:row>24</xdr:row>
      <xdr:rowOff>50800</xdr:rowOff>
    </xdr:to>
    <xdr:sp macro="" textlink="">
      <xdr:nvSpPr>
        <xdr:cNvPr id="77" name="AutoShape 34">
          <a:extLst>
            <a:ext uri="{FF2B5EF4-FFF2-40B4-BE49-F238E27FC236}">
              <a16:creationId xmlns:a16="http://schemas.microsoft.com/office/drawing/2014/main" id="{C36244A3-7CE2-4F3E-BC33-2335C202F369}"/>
            </a:ext>
          </a:extLst>
        </xdr:cNvPr>
        <xdr:cNvSpPr>
          <a:spLocks noChangeArrowheads="1"/>
        </xdr:cNvSpPr>
      </xdr:nvSpPr>
      <xdr:spPr bwMode="auto">
        <a:xfrm>
          <a:off x="6654800" y="3136900"/>
          <a:ext cx="206375" cy="1123950"/>
        </a:xfrm>
        <a:prstGeom prst="upArrow">
          <a:avLst>
            <a:gd name="adj1" fmla="val 50000"/>
            <a:gd name="adj2" fmla="val 14375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295275</xdr:colOff>
      <xdr:row>23</xdr:row>
      <xdr:rowOff>133350</xdr:rowOff>
    </xdr:from>
    <xdr:to>
      <xdr:col>11</xdr:col>
      <xdr:colOff>590550</xdr:colOff>
      <xdr:row>25</xdr:row>
      <xdr:rowOff>9525</xdr:rowOff>
    </xdr:to>
    <xdr:sp macro="" textlink="">
      <xdr:nvSpPr>
        <xdr:cNvPr id="78" name="AutoShape 35">
          <a:extLst>
            <a:ext uri="{FF2B5EF4-FFF2-40B4-BE49-F238E27FC236}">
              <a16:creationId xmlns:a16="http://schemas.microsoft.com/office/drawing/2014/main" id="{138762A3-1821-45BF-B908-6E8F3223C1FB}"/>
            </a:ext>
          </a:extLst>
        </xdr:cNvPr>
        <xdr:cNvSpPr>
          <a:spLocks noChangeArrowheads="1"/>
        </xdr:cNvSpPr>
      </xdr:nvSpPr>
      <xdr:spPr bwMode="auto">
        <a:xfrm rot="16380000" flipH="1">
          <a:off x="7029450" y="4133850"/>
          <a:ext cx="219075" cy="2952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419100</xdr:colOff>
      <xdr:row>23</xdr:row>
      <xdr:rowOff>85725</xdr:rowOff>
    </xdr:from>
    <xdr:to>
      <xdr:col>8</xdr:col>
      <xdr:colOff>47625</xdr:colOff>
      <xdr:row>24</xdr:row>
      <xdr:rowOff>133350</xdr:rowOff>
    </xdr:to>
    <xdr:sp macro="" textlink="">
      <xdr:nvSpPr>
        <xdr:cNvPr id="79" name="AutoShape 36">
          <a:extLst>
            <a:ext uri="{FF2B5EF4-FFF2-40B4-BE49-F238E27FC236}">
              <a16:creationId xmlns:a16="http://schemas.microsoft.com/office/drawing/2014/main" id="{9ECE06C8-ED4F-49CD-BA99-5DF2AE7F54A3}"/>
            </a:ext>
          </a:extLst>
        </xdr:cNvPr>
        <xdr:cNvSpPr>
          <a:spLocks noChangeArrowheads="1"/>
        </xdr:cNvSpPr>
      </xdr:nvSpPr>
      <xdr:spPr bwMode="auto">
        <a:xfrm rot="16380000" flipH="1">
          <a:off x="4452937" y="4081463"/>
          <a:ext cx="219075" cy="3048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514350</xdr:colOff>
      <xdr:row>9</xdr:row>
      <xdr:rowOff>161925</xdr:rowOff>
    </xdr:from>
    <xdr:to>
      <xdr:col>11</xdr:col>
      <xdr:colOff>266700</xdr:colOff>
      <xdr:row>12</xdr:row>
      <xdr:rowOff>47625</xdr:rowOff>
    </xdr:to>
    <xdr:sp macro="" textlink="">
      <xdr:nvSpPr>
        <xdr:cNvPr id="80" name="AutoShape 37">
          <a:extLst>
            <a:ext uri="{FF2B5EF4-FFF2-40B4-BE49-F238E27FC236}">
              <a16:creationId xmlns:a16="http://schemas.microsoft.com/office/drawing/2014/main" id="{BFD7C637-0675-4D81-B1DC-01C2FAF4219F}"/>
            </a:ext>
          </a:extLst>
        </xdr:cNvPr>
        <xdr:cNvSpPr>
          <a:spLocks noChangeArrowheads="1"/>
        </xdr:cNvSpPr>
      </xdr:nvSpPr>
      <xdr:spPr bwMode="auto">
        <a:xfrm rot="10800000">
          <a:off x="6534150" y="1800225"/>
          <a:ext cx="428625" cy="4000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403225</xdr:colOff>
      <xdr:row>10</xdr:row>
      <xdr:rowOff>114300</xdr:rowOff>
    </xdr:from>
    <xdr:to>
      <xdr:col>12</xdr:col>
      <xdr:colOff>330298</xdr:colOff>
      <xdr:row>11</xdr:row>
      <xdr:rowOff>142875</xdr:rowOff>
    </xdr:to>
    <xdr:sp macro="" textlink="">
      <xdr:nvSpPr>
        <xdr:cNvPr id="81" name="AutoShape 38">
          <a:extLst>
            <a:ext uri="{FF2B5EF4-FFF2-40B4-BE49-F238E27FC236}">
              <a16:creationId xmlns:a16="http://schemas.microsoft.com/office/drawing/2014/main" id="{16DC5CDD-4438-49C0-BB9A-6BCD1C284DA9}"/>
            </a:ext>
          </a:extLst>
        </xdr:cNvPr>
        <xdr:cNvSpPr>
          <a:spLocks noChangeArrowheads="1"/>
        </xdr:cNvSpPr>
      </xdr:nvSpPr>
      <xdr:spPr bwMode="auto">
        <a:xfrm>
          <a:off x="7099300" y="1924050"/>
          <a:ext cx="603348" cy="200025"/>
        </a:xfrm>
        <a:prstGeom prst="curvedUpArrow">
          <a:avLst>
            <a:gd name="adj1" fmla="val 56471"/>
            <a:gd name="adj2" fmla="val 112941"/>
            <a:gd name="adj3" fmla="val 41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330200</xdr:colOff>
      <xdr:row>2</xdr:row>
      <xdr:rowOff>88900</xdr:rowOff>
    </xdr:from>
    <xdr:to>
      <xdr:col>12</xdr:col>
      <xdr:colOff>266700</xdr:colOff>
      <xdr:row>3</xdr:row>
      <xdr:rowOff>114300</xdr:rowOff>
    </xdr:to>
    <xdr:sp macro="" textlink="">
      <xdr:nvSpPr>
        <xdr:cNvPr id="82" name="AutoShape 39">
          <a:extLst>
            <a:ext uri="{FF2B5EF4-FFF2-40B4-BE49-F238E27FC236}">
              <a16:creationId xmlns:a16="http://schemas.microsoft.com/office/drawing/2014/main" id="{CF20FF41-8321-4A48-B692-22E3365C1DA2}"/>
            </a:ext>
          </a:extLst>
        </xdr:cNvPr>
        <xdr:cNvSpPr>
          <a:spLocks noChangeArrowheads="1"/>
        </xdr:cNvSpPr>
      </xdr:nvSpPr>
      <xdr:spPr bwMode="auto">
        <a:xfrm rot="10500000">
          <a:off x="7026275" y="431800"/>
          <a:ext cx="612775" cy="196850"/>
        </a:xfrm>
        <a:prstGeom prst="curvedUpArrow">
          <a:avLst>
            <a:gd name="adj1" fmla="val 60000"/>
            <a:gd name="adj2" fmla="val 120000"/>
            <a:gd name="adj3" fmla="val 41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12</xdr:col>
      <xdr:colOff>190500</xdr:colOff>
      <xdr:row>4</xdr:row>
      <xdr:rowOff>193675</xdr:rowOff>
    </xdr:from>
    <xdr:to>
      <xdr:col>12</xdr:col>
      <xdr:colOff>317500</xdr:colOff>
      <xdr:row>8</xdr:row>
      <xdr:rowOff>165100</xdr:rowOff>
    </xdr:to>
    <xdr:sp macro="" textlink="">
      <xdr:nvSpPr>
        <xdr:cNvPr id="83" name="AutoShape 40">
          <a:extLst>
            <a:ext uri="{FF2B5EF4-FFF2-40B4-BE49-F238E27FC236}">
              <a16:creationId xmlns:a16="http://schemas.microsoft.com/office/drawing/2014/main" id="{683C453E-DA13-4FBF-B6CF-12FB7CAF13F8}"/>
            </a:ext>
          </a:extLst>
        </xdr:cNvPr>
        <xdr:cNvSpPr>
          <a:spLocks noChangeArrowheads="1"/>
        </xdr:cNvSpPr>
      </xdr:nvSpPr>
      <xdr:spPr bwMode="auto">
        <a:xfrm>
          <a:off x="7562850" y="879475"/>
          <a:ext cx="127000" cy="752475"/>
        </a:xfrm>
        <a:prstGeom prst="upArrow">
          <a:avLst>
            <a:gd name="adj1" fmla="val 50000"/>
            <a:gd name="adj2" fmla="val 1525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11</xdr:col>
      <xdr:colOff>330200</xdr:colOff>
      <xdr:row>4</xdr:row>
      <xdr:rowOff>193675</xdr:rowOff>
    </xdr:from>
    <xdr:to>
      <xdr:col>11</xdr:col>
      <xdr:colOff>457200</xdr:colOff>
      <xdr:row>8</xdr:row>
      <xdr:rowOff>165100</xdr:rowOff>
    </xdr:to>
    <xdr:sp macro="" textlink="">
      <xdr:nvSpPr>
        <xdr:cNvPr id="84" name="AutoShape 41">
          <a:extLst>
            <a:ext uri="{FF2B5EF4-FFF2-40B4-BE49-F238E27FC236}">
              <a16:creationId xmlns:a16="http://schemas.microsoft.com/office/drawing/2014/main" id="{8B2939FA-A3B3-4767-B3AE-6CEC8AEAB77D}"/>
            </a:ext>
          </a:extLst>
        </xdr:cNvPr>
        <xdr:cNvSpPr>
          <a:spLocks noChangeArrowheads="1"/>
        </xdr:cNvSpPr>
      </xdr:nvSpPr>
      <xdr:spPr bwMode="auto">
        <a:xfrm flipV="1">
          <a:off x="7026275" y="879475"/>
          <a:ext cx="127000" cy="752475"/>
        </a:xfrm>
        <a:prstGeom prst="upArrow">
          <a:avLst>
            <a:gd name="adj1" fmla="val 50000"/>
            <a:gd name="adj2" fmla="val 1525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381000</xdr:colOff>
      <xdr:row>0</xdr:row>
      <xdr:rowOff>133350</xdr:rowOff>
    </xdr:from>
    <xdr:to>
      <xdr:col>13</xdr:col>
      <xdr:colOff>476250</xdr:colOff>
      <xdr:row>1</xdr:row>
      <xdr:rowOff>123825</xdr:rowOff>
    </xdr:to>
    <xdr:sp macro="" textlink="">
      <xdr:nvSpPr>
        <xdr:cNvPr id="85" name="Line 42">
          <a:extLst>
            <a:ext uri="{FF2B5EF4-FFF2-40B4-BE49-F238E27FC236}">
              <a16:creationId xmlns:a16="http://schemas.microsoft.com/office/drawing/2014/main" id="{E6B56564-48D8-4CAE-8B53-B3F6E47CFBE9}"/>
            </a:ext>
          </a:extLst>
        </xdr:cNvPr>
        <xdr:cNvSpPr>
          <a:spLocks noChangeShapeType="1"/>
        </xdr:cNvSpPr>
      </xdr:nvSpPr>
      <xdr:spPr bwMode="auto">
        <a:xfrm flipV="1">
          <a:off x="6400800" y="133350"/>
          <a:ext cx="2124075" cy="161925"/>
        </a:xfrm>
        <a:prstGeom prst="line">
          <a:avLst/>
        </a:prstGeom>
        <a:noFill/>
        <a:ln w="507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1</xdr:row>
      <xdr:rowOff>76200</xdr:rowOff>
    </xdr:from>
    <xdr:to>
      <xdr:col>15</xdr:col>
      <xdr:colOff>596932</xdr:colOff>
      <xdr:row>4</xdr:row>
      <xdr:rowOff>9525</xdr:rowOff>
    </xdr:to>
    <xdr:sp macro="" textlink="" fLocksText="0">
      <xdr:nvSpPr>
        <xdr:cNvPr id="86" name="AutoShape 43">
          <a:extLst>
            <a:ext uri="{FF2B5EF4-FFF2-40B4-BE49-F238E27FC236}">
              <a16:creationId xmlns:a16="http://schemas.microsoft.com/office/drawing/2014/main" id="{5FBAA185-F74B-4C0F-B935-6016AD5F4F89}"/>
            </a:ext>
          </a:extLst>
        </xdr:cNvPr>
        <xdr:cNvSpPr>
          <a:spLocks noChangeArrowheads="1"/>
        </xdr:cNvSpPr>
      </xdr:nvSpPr>
      <xdr:spPr bwMode="auto">
        <a:xfrm>
          <a:off x="8115300" y="247650"/>
          <a:ext cx="1882807" cy="447675"/>
        </a:xfrm>
        <a:prstGeom prst="wedgeRoundRectCallout">
          <a:avLst>
            <a:gd name="adj1" fmla="val -81486"/>
            <a:gd name="adj2" fmla="val -62292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夢のかけ橋より下流は進入禁止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625475</xdr:colOff>
      <xdr:row>3</xdr:row>
      <xdr:rowOff>117475</xdr:rowOff>
    </xdr:from>
    <xdr:to>
      <xdr:col>11</xdr:col>
      <xdr:colOff>225425</xdr:colOff>
      <xdr:row>9</xdr:row>
      <xdr:rowOff>19161</xdr:rowOff>
    </xdr:to>
    <xdr:sp macro="" textlink="" fLocksText="0">
      <xdr:nvSpPr>
        <xdr:cNvPr id="87" name="Text Box 44">
          <a:extLst>
            <a:ext uri="{FF2B5EF4-FFF2-40B4-BE49-F238E27FC236}">
              <a16:creationId xmlns:a16="http://schemas.microsoft.com/office/drawing/2014/main" id="{D998B541-457F-4623-9EC6-667F224EFC1A}"/>
            </a:ext>
          </a:extLst>
        </xdr:cNvPr>
        <xdr:cNvSpPr txBox="1">
          <a:spLocks noChangeArrowheads="1"/>
        </xdr:cNvSpPr>
      </xdr:nvSpPr>
      <xdr:spPr bwMode="auto">
        <a:xfrm>
          <a:off x="6645275" y="631825"/>
          <a:ext cx="276225" cy="102563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0" rIns="2736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練習水域</a:t>
          </a:r>
        </a:p>
      </xdr:txBody>
    </xdr:sp>
    <xdr:clientData/>
  </xdr:twoCellAnchor>
  <xdr:twoCellAnchor>
    <xdr:from>
      <xdr:col>6</xdr:col>
      <xdr:colOff>381000</xdr:colOff>
      <xdr:row>11</xdr:row>
      <xdr:rowOff>114300</xdr:rowOff>
    </xdr:from>
    <xdr:to>
      <xdr:col>7</xdr:col>
      <xdr:colOff>177800</xdr:colOff>
      <xdr:row>14</xdr:row>
      <xdr:rowOff>54040</xdr:rowOff>
    </xdr:to>
    <xdr:sp macro="" textlink="">
      <xdr:nvSpPr>
        <xdr:cNvPr id="88" name="AutoShape 46">
          <a:extLst>
            <a:ext uri="{FF2B5EF4-FFF2-40B4-BE49-F238E27FC236}">
              <a16:creationId xmlns:a16="http://schemas.microsoft.com/office/drawing/2014/main" id="{DD884F14-4B5D-417E-BD44-0F9576166BB6}"/>
            </a:ext>
          </a:extLst>
        </xdr:cNvPr>
        <xdr:cNvSpPr>
          <a:spLocks noChangeArrowheads="1"/>
        </xdr:cNvSpPr>
      </xdr:nvSpPr>
      <xdr:spPr bwMode="auto">
        <a:xfrm rot="-6060000">
          <a:off x="3705193" y="2086007"/>
          <a:ext cx="454090" cy="473075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596900</xdr:colOff>
      <xdr:row>25</xdr:row>
      <xdr:rowOff>114300</xdr:rowOff>
    </xdr:from>
    <xdr:to>
      <xdr:col>14</xdr:col>
      <xdr:colOff>88900</xdr:colOff>
      <xdr:row>26</xdr:row>
      <xdr:rowOff>50800</xdr:rowOff>
    </xdr:to>
    <xdr:sp macro="" textlink="">
      <xdr:nvSpPr>
        <xdr:cNvPr id="89" name="Rectangle 47">
          <a:extLst>
            <a:ext uri="{FF2B5EF4-FFF2-40B4-BE49-F238E27FC236}">
              <a16:creationId xmlns:a16="http://schemas.microsoft.com/office/drawing/2014/main" id="{156C7D32-A251-42D2-A3E6-B5274440E4E3}"/>
            </a:ext>
          </a:extLst>
        </xdr:cNvPr>
        <xdr:cNvSpPr>
          <a:spLocks noChangeArrowheads="1"/>
        </xdr:cNvSpPr>
      </xdr:nvSpPr>
      <xdr:spPr bwMode="auto">
        <a:xfrm>
          <a:off x="8645525" y="4495800"/>
          <a:ext cx="168275" cy="1079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409575</xdr:colOff>
      <xdr:row>1</xdr:row>
      <xdr:rowOff>114300</xdr:rowOff>
    </xdr:from>
    <xdr:to>
      <xdr:col>8</xdr:col>
      <xdr:colOff>533400</xdr:colOff>
      <xdr:row>1</xdr:row>
      <xdr:rowOff>114300</xdr:rowOff>
    </xdr:to>
    <xdr:sp macro="" textlink="">
      <xdr:nvSpPr>
        <xdr:cNvPr id="90" name="Line 48">
          <a:extLst>
            <a:ext uri="{FF2B5EF4-FFF2-40B4-BE49-F238E27FC236}">
              <a16:creationId xmlns:a16="http://schemas.microsoft.com/office/drawing/2014/main" id="{8FBB0211-D283-4339-89F8-39629E808BD2}"/>
            </a:ext>
          </a:extLst>
        </xdr:cNvPr>
        <xdr:cNvSpPr>
          <a:spLocks noChangeShapeType="1"/>
        </xdr:cNvSpPr>
      </xdr:nvSpPr>
      <xdr:spPr bwMode="auto">
        <a:xfrm flipH="1">
          <a:off x="4400550" y="285750"/>
          <a:ext cx="8001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190500</xdr:colOff>
      <xdr:row>0</xdr:row>
      <xdr:rowOff>133350</xdr:rowOff>
    </xdr:from>
    <xdr:to>
      <xdr:col>8</xdr:col>
      <xdr:colOff>190500</xdr:colOff>
      <xdr:row>2</xdr:row>
      <xdr:rowOff>57150</xdr:rowOff>
    </xdr:to>
    <xdr:sp macro="" textlink="">
      <xdr:nvSpPr>
        <xdr:cNvPr id="91" name="Line 49">
          <a:extLst>
            <a:ext uri="{FF2B5EF4-FFF2-40B4-BE49-F238E27FC236}">
              <a16:creationId xmlns:a16="http://schemas.microsoft.com/office/drawing/2014/main" id="{91AF55D1-2361-4338-93DE-07EA276DC4C9}"/>
            </a:ext>
          </a:extLst>
        </xdr:cNvPr>
        <xdr:cNvSpPr>
          <a:spLocks noChangeShapeType="1"/>
        </xdr:cNvSpPr>
      </xdr:nvSpPr>
      <xdr:spPr bwMode="auto">
        <a:xfrm>
          <a:off x="4857750" y="133350"/>
          <a:ext cx="0" cy="2667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266700</xdr:colOff>
      <xdr:row>13</xdr:row>
      <xdr:rowOff>92075</xdr:rowOff>
    </xdr:from>
    <xdr:to>
      <xdr:col>4</xdr:col>
      <xdr:colOff>368300</xdr:colOff>
      <xdr:row>15</xdr:row>
      <xdr:rowOff>76296</xdr:rowOff>
    </xdr:to>
    <xdr:sp macro="" textlink="">
      <xdr:nvSpPr>
        <xdr:cNvPr id="92" name="AutoShape 50">
          <a:extLst>
            <a:ext uri="{FF2B5EF4-FFF2-40B4-BE49-F238E27FC236}">
              <a16:creationId xmlns:a16="http://schemas.microsoft.com/office/drawing/2014/main" id="{C6298B97-6186-4767-BD31-5FE793960387}"/>
            </a:ext>
          </a:extLst>
        </xdr:cNvPr>
        <xdr:cNvSpPr>
          <a:spLocks noChangeArrowheads="1"/>
        </xdr:cNvSpPr>
      </xdr:nvSpPr>
      <xdr:spPr bwMode="auto">
        <a:xfrm rot="-5400000">
          <a:off x="2116089" y="2528936"/>
          <a:ext cx="327121" cy="101600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180975</xdr:colOff>
      <xdr:row>15</xdr:row>
      <xdr:rowOff>146050</xdr:rowOff>
    </xdr:from>
    <xdr:to>
      <xdr:col>4</xdr:col>
      <xdr:colOff>409575</xdr:colOff>
      <xdr:row>21</xdr:row>
      <xdr:rowOff>123938</xdr:rowOff>
    </xdr:to>
    <xdr:sp macro="" textlink="" fLocksText="0">
      <xdr:nvSpPr>
        <xdr:cNvPr id="93" name="Rectangle 51">
          <a:extLst>
            <a:ext uri="{FF2B5EF4-FFF2-40B4-BE49-F238E27FC236}">
              <a16:creationId xmlns:a16="http://schemas.microsoft.com/office/drawing/2014/main" id="{F84160BE-07E8-4FE6-A45F-37CDE3D82BDB}"/>
            </a:ext>
          </a:extLst>
        </xdr:cNvPr>
        <xdr:cNvSpPr>
          <a:spLocks noChangeArrowheads="1"/>
        </xdr:cNvSpPr>
      </xdr:nvSpPr>
      <xdr:spPr bwMode="auto">
        <a:xfrm>
          <a:off x="2143125" y="2813050"/>
          <a:ext cx="228600" cy="1006588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進入禁止</a:t>
          </a:r>
        </a:p>
        <a:p>
          <a:pPr algn="l" rtl="0">
            <a:lnSpc>
              <a:spcPts val="9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485775</xdr:colOff>
      <xdr:row>16</xdr:row>
      <xdr:rowOff>171450</xdr:rowOff>
    </xdr:from>
    <xdr:to>
      <xdr:col>8</xdr:col>
      <xdr:colOff>190500</xdr:colOff>
      <xdr:row>21</xdr:row>
      <xdr:rowOff>142875</xdr:rowOff>
    </xdr:to>
    <xdr:sp macro="" textlink="">
      <xdr:nvSpPr>
        <xdr:cNvPr id="94" name="線 344">
          <a:extLst>
            <a:ext uri="{FF2B5EF4-FFF2-40B4-BE49-F238E27FC236}">
              <a16:creationId xmlns:a16="http://schemas.microsoft.com/office/drawing/2014/main" id="{6BCB446D-A096-43DB-BDC3-80FEBB5FE37B}"/>
            </a:ext>
          </a:extLst>
        </xdr:cNvPr>
        <xdr:cNvSpPr>
          <a:spLocks noChangeShapeType="1"/>
        </xdr:cNvSpPr>
      </xdr:nvSpPr>
      <xdr:spPr bwMode="auto">
        <a:xfrm flipV="1">
          <a:off x="4476750" y="3009900"/>
          <a:ext cx="381000" cy="8286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16</xdr:row>
      <xdr:rowOff>142875</xdr:rowOff>
    </xdr:from>
    <xdr:to>
      <xdr:col>12</xdr:col>
      <xdr:colOff>66675</xdr:colOff>
      <xdr:row>21</xdr:row>
      <xdr:rowOff>142875</xdr:rowOff>
    </xdr:to>
    <xdr:sp macro="" textlink="">
      <xdr:nvSpPr>
        <xdr:cNvPr id="95" name="線 345">
          <a:extLst>
            <a:ext uri="{FF2B5EF4-FFF2-40B4-BE49-F238E27FC236}">
              <a16:creationId xmlns:a16="http://schemas.microsoft.com/office/drawing/2014/main" id="{6DA1518F-71FB-47FA-BEC6-51C590EB4D8E}"/>
            </a:ext>
          </a:extLst>
        </xdr:cNvPr>
        <xdr:cNvSpPr>
          <a:spLocks noChangeShapeType="1"/>
        </xdr:cNvSpPr>
      </xdr:nvSpPr>
      <xdr:spPr bwMode="auto">
        <a:xfrm flipV="1">
          <a:off x="7000875" y="2981325"/>
          <a:ext cx="438150" cy="8572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561975</xdr:colOff>
      <xdr:row>4</xdr:row>
      <xdr:rowOff>238125</xdr:rowOff>
    </xdr:from>
    <xdr:to>
      <xdr:col>12</xdr:col>
      <xdr:colOff>85725</xdr:colOff>
      <xdr:row>7</xdr:row>
      <xdr:rowOff>142875</xdr:rowOff>
    </xdr:to>
    <xdr:sp macro="" textlink="">
      <xdr:nvSpPr>
        <xdr:cNvPr id="96" name="線 346">
          <a:extLst>
            <a:ext uri="{FF2B5EF4-FFF2-40B4-BE49-F238E27FC236}">
              <a16:creationId xmlns:a16="http://schemas.microsoft.com/office/drawing/2014/main" id="{CEC8C7CC-024E-489B-8CA6-7E390014C573}"/>
            </a:ext>
          </a:extLst>
        </xdr:cNvPr>
        <xdr:cNvSpPr>
          <a:spLocks noChangeShapeType="1"/>
        </xdr:cNvSpPr>
      </xdr:nvSpPr>
      <xdr:spPr bwMode="auto">
        <a:xfrm>
          <a:off x="7258050" y="923925"/>
          <a:ext cx="200025" cy="5143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342900</xdr:colOff>
      <xdr:row>12</xdr:row>
      <xdr:rowOff>114300</xdr:rowOff>
    </xdr:from>
    <xdr:to>
      <xdr:col>8</xdr:col>
      <xdr:colOff>342900</xdr:colOff>
      <xdr:row>14</xdr:row>
      <xdr:rowOff>161925</xdr:rowOff>
    </xdr:to>
    <xdr:sp macro="" textlink="">
      <xdr:nvSpPr>
        <xdr:cNvPr id="97" name="線 347">
          <a:extLst>
            <a:ext uri="{FF2B5EF4-FFF2-40B4-BE49-F238E27FC236}">
              <a16:creationId xmlns:a16="http://schemas.microsoft.com/office/drawing/2014/main" id="{DCFFE87F-88BA-4A01-87BD-C243C7B708D6}"/>
            </a:ext>
          </a:extLst>
        </xdr:cNvPr>
        <xdr:cNvSpPr>
          <a:spLocks noChangeShapeType="1"/>
        </xdr:cNvSpPr>
      </xdr:nvSpPr>
      <xdr:spPr bwMode="auto">
        <a:xfrm flipV="1">
          <a:off x="5010150" y="2266950"/>
          <a:ext cx="0" cy="3905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76200</xdr:rowOff>
    </xdr:from>
    <xdr:to>
      <xdr:col>6</xdr:col>
      <xdr:colOff>219075</xdr:colOff>
      <xdr:row>21</xdr:row>
      <xdr:rowOff>114300</xdr:rowOff>
    </xdr:to>
    <xdr:sp macro="" textlink="">
      <xdr:nvSpPr>
        <xdr:cNvPr id="98" name="線 348">
          <a:extLst>
            <a:ext uri="{FF2B5EF4-FFF2-40B4-BE49-F238E27FC236}">
              <a16:creationId xmlns:a16="http://schemas.microsoft.com/office/drawing/2014/main" id="{3C7BC32F-5B7B-40BC-85EE-277D1B745A6D}"/>
            </a:ext>
          </a:extLst>
        </xdr:cNvPr>
        <xdr:cNvSpPr>
          <a:spLocks noChangeShapeType="1"/>
        </xdr:cNvSpPr>
      </xdr:nvSpPr>
      <xdr:spPr bwMode="auto">
        <a:xfrm flipH="1">
          <a:off x="3505200" y="2914650"/>
          <a:ext cx="28575" cy="895350"/>
        </a:xfrm>
        <a:prstGeom prst="line">
          <a:avLst/>
        </a:prstGeom>
        <a:noFill/>
        <a:ln w="28440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76200</xdr:rowOff>
    </xdr:from>
    <xdr:to>
      <xdr:col>10</xdr:col>
      <xdr:colOff>219075</xdr:colOff>
      <xdr:row>21</xdr:row>
      <xdr:rowOff>114300</xdr:rowOff>
    </xdr:to>
    <xdr:sp macro="" textlink="">
      <xdr:nvSpPr>
        <xdr:cNvPr id="99" name="線 350">
          <a:extLst>
            <a:ext uri="{FF2B5EF4-FFF2-40B4-BE49-F238E27FC236}">
              <a16:creationId xmlns:a16="http://schemas.microsoft.com/office/drawing/2014/main" id="{46ADDE14-3D9F-4427-9E7D-34C9BE78AB0C}"/>
            </a:ext>
          </a:extLst>
        </xdr:cNvPr>
        <xdr:cNvSpPr>
          <a:spLocks noChangeShapeType="1"/>
        </xdr:cNvSpPr>
      </xdr:nvSpPr>
      <xdr:spPr bwMode="auto">
        <a:xfrm flipH="1">
          <a:off x="6210300" y="2914650"/>
          <a:ext cx="28575" cy="895350"/>
        </a:xfrm>
        <a:prstGeom prst="line">
          <a:avLst/>
        </a:prstGeom>
        <a:noFill/>
        <a:ln w="28440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142875</xdr:colOff>
      <xdr:row>23</xdr:row>
      <xdr:rowOff>142875</xdr:rowOff>
    </xdr:from>
    <xdr:to>
      <xdr:col>7</xdr:col>
      <xdr:colOff>38100</xdr:colOff>
      <xdr:row>23</xdr:row>
      <xdr:rowOff>142875</xdr:rowOff>
    </xdr:to>
    <xdr:sp macro="" textlink="">
      <xdr:nvSpPr>
        <xdr:cNvPr id="100" name="線 351">
          <a:extLst>
            <a:ext uri="{FF2B5EF4-FFF2-40B4-BE49-F238E27FC236}">
              <a16:creationId xmlns:a16="http://schemas.microsoft.com/office/drawing/2014/main" id="{8D29DF9B-3361-4701-90A4-CA0B7433B673}"/>
            </a:ext>
          </a:extLst>
        </xdr:cNvPr>
        <xdr:cNvSpPr>
          <a:spLocks noChangeShapeType="1"/>
        </xdr:cNvSpPr>
      </xdr:nvSpPr>
      <xdr:spPr bwMode="auto">
        <a:xfrm flipV="1">
          <a:off x="3457575" y="4181475"/>
          <a:ext cx="571500" cy="0"/>
        </a:xfrm>
        <a:prstGeom prst="line">
          <a:avLst/>
        </a:prstGeom>
        <a:noFill/>
        <a:ln w="28440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24</xdr:row>
      <xdr:rowOff>133350</xdr:rowOff>
    </xdr:from>
    <xdr:to>
      <xdr:col>6</xdr:col>
      <xdr:colOff>638175</xdr:colOff>
      <xdr:row>24</xdr:row>
      <xdr:rowOff>133350</xdr:rowOff>
    </xdr:to>
    <xdr:sp macro="" textlink="">
      <xdr:nvSpPr>
        <xdr:cNvPr id="101" name="線 352">
          <a:extLst>
            <a:ext uri="{FF2B5EF4-FFF2-40B4-BE49-F238E27FC236}">
              <a16:creationId xmlns:a16="http://schemas.microsoft.com/office/drawing/2014/main" id="{9B8E6D06-7DFF-4A32-BD65-6D45B5A55DC5}"/>
            </a:ext>
          </a:extLst>
        </xdr:cNvPr>
        <xdr:cNvSpPr>
          <a:spLocks noChangeShapeType="1"/>
        </xdr:cNvSpPr>
      </xdr:nvSpPr>
      <xdr:spPr bwMode="auto">
        <a:xfrm flipH="1">
          <a:off x="3438525" y="4343400"/>
          <a:ext cx="514350" cy="0"/>
        </a:xfrm>
        <a:prstGeom prst="line">
          <a:avLst/>
        </a:prstGeom>
        <a:noFill/>
        <a:ln w="28440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13</xdr:row>
      <xdr:rowOff>76200</xdr:rowOff>
    </xdr:from>
    <xdr:to>
      <xdr:col>10</xdr:col>
      <xdr:colOff>0</xdr:colOff>
      <xdr:row>14</xdr:row>
      <xdr:rowOff>130302</xdr:rowOff>
    </xdr:to>
    <xdr:sp macro="" textlink="">
      <xdr:nvSpPr>
        <xdr:cNvPr id="102" name="AutoShape 43">
          <a:extLst>
            <a:ext uri="{FF2B5EF4-FFF2-40B4-BE49-F238E27FC236}">
              <a16:creationId xmlns:a16="http://schemas.microsoft.com/office/drawing/2014/main" id="{BCF3D441-8116-4DDF-818D-4F6E10F320FF}"/>
            </a:ext>
          </a:extLst>
        </xdr:cNvPr>
        <xdr:cNvSpPr>
          <a:spLocks noChangeArrowheads="1"/>
        </xdr:cNvSpPr>
      </xdr:nvSpPr>
      <xdr:spPr bwMode="auto">
        <a:xfrm rot="5400000">
          <a:off x="5664137" y="2270188"/>
          <a:ext cx="225552" cy="485775"/>
        </a:xfrm>
        <a:prstGeom prst="upArrow">
          <a:avLst>
            <a:gd name="adj1" fmla="val 50000"/>
            <a:gd name="adj2" fmla="val 500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14</xdr:col>
      <xdr:colOff>444500</xdr:colOff>
      <xdr:row>19</xdr:row>
      <xdr:rowOff>76200</xdr:rowOff>
    </xdr:from>
    <xdr:to>
      <xdr:col>15</xdr:col>
      <xdr:colOff>38100</xdr:colOff>
      <xdr:row>23</xdr:row>
      <xdr:rowOff>54020</xdr:rowOff>
    </xdr:to>
    <xdr:sp macro="" textlink="">
      <xdr:nvSpPr>
        <xdr:cNvPr id="103" name="AutoShape 104">
          <a:extLst>
            <a:ext uri="{FF2B5EF4-FFF2-40B4-BE49-F238E27FC236}">
              <a16:creationId xmlns:a16="http://schemas.microsoft.com/office/drawing/2014/main" id="{E57774CA-8A48-45E8-A30D-B3CA7B314FCE}"/>
            </a:ext>
          </a:extLst>
        </xdr:cNvPr>
        <xdr:cNvSpPr>
          <a:spLocks noChangeArrowheads="1"/>
        </xdr:cNvSpPr>
      </xdr:nvSpPr>
      <xdr:spPr bwMode="auto">
        <a:xfrm>
          <a:off x="9169400" y="3429000"/>
          <a:ext cx="269875" cy="663620"/>
        </a:xfrm>
        <a:prstGeom prst="curvedLeftArrow">
          <a:avLst>
            <a:gd name="adj1" fmla="val 52381"/>
            <a:gd name="adj2" fmla="val 104762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180974</xdr:colOff>
      <xdr:row>12</xdr:row>
      <xdr:rowOff>95250</xdr:rowOff>
    </xdr:from>
    <xdr:to>
      <xdr:col>7</xdr:col>
      <xdr:colOff>380999</xdr:colOff>
      <xdr:row>13</xdr:row>
      <xdr:rowOff>114300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23DC5F69-AB01-4B31-9CE6-A9511B1F62C0}"/>
            </a:ext>
          </a:extLst>
        </xdr:cNvPr>
        <xdr:cNvSpPr>
          <a:spLocks noChangeArrowheads="1"/>
        </xdr:cNvSpPr>
      </xdr:nvSpPr>
      <xdr:spPr bwMode="auto">
        <a:xfrm flipH="1">
          <a:off x="4171949" y="2247900"/>
          <a:ext cx="200025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476250</xdr:colOff>
      <xdr:row>12</xdr:row>
      <xdr:rowOff>47625</xdr:rowOff>
    </xdr:from>
    <xdr:to>
      <xdr:col>11</xdr:col>
      <xdr:colOff>0</xdr:colOff>
      <xdr:row>13</xdr:row>
      <xdr:rowOff>66675</xdr:rowOff>
    </xdr:to>
    <xdr:sp macro="" textlink="">
      <xdr:nvSpPr>
        <xdr:cNvPr id="105" name="AutoShape 36">
          <a:extLst>
            <a:ext uri="{FF2B5EF4-FFF2-40B4-BE49-F238E27FC236}">
              <a16:creationId xmlns:a16="http://schemas.microsoft.com/office/drawing/2014/main" id="{F2C6ACE4-2310-4D10-B9E2-872BBFB127E7}"/>
            </a:ext>
          </a:extLst>
        </xdr:cNvPr>
        <xdr:cNvSpPr>
          <a:spLocks noChangeArrowheads="1"/>
        </xdr:cNvSpPr>
      </xdr:nvSpPr>
      <xdr:spPr bwMode="auto">
        <a:xfrm flipH="1">
          <a:off x="6496050" y="2200275"/>
          <a:ext cx="200025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4</xdr:row>
      <xdr:rowOff>114300</xdr:rowOff>
    </xdr:from>
    <xdr:to>
      <xdr:col>10</xdr:col>
      <xdr:colOff>152400</xdr:colOff>
      <xdr:row>9</xdr:row>
      <xdr:rowOff>95250</xdr:rowOff>
    </xdr:to>
    <xdr:sp macro="" textlink="">
      <xdr:nvSpPr>
        <xdr:cNvPr id="106" name="角丸四角形吹き出し 105">
          <a:extLst>
            <a:ext uri="{FF2B5EF4-FFF2-40B4-BE49-F238E27FC236}">
              <a16:creationId xmlns:a16="http://schemas.microsoft.com/office/drawing/2014/main" id="{F9351D62-28BE-42B8-9A80-96834658A150}"/>
            </a:ext>
          </a:extLst>
        </xdr:cNvPr>
        <xdr:cNvSpPr/>
      </xdr:nvSpPr>
      <xdr:spPr>
        <a:xfrm>
          <a:off x="5419725" y="800100"/>
          <a:ext cx="752475" cy="933450"/>
        </a:xfrm>
        <a:prstGeom prst="wedgeRoundRectCallout">
          <a:avLst>
            <a:gd name="adj1" fmla="val -190453"/>
            <a:gd name="adj2" fmla="val 105357"/>
            <a:gd name="adj3" fmla="val 16667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76199</xdr:colOff>
      <xdr:row>2</xdr:row>
      <xdr:rowOff>152400</xdr:rowOff>
    </xdr:from>
    <xdr:to>
      <xdr:col>10</xdr:col>
      <xdr:colOff>285749</xdr:colOff>
      <xdr:row>9</xdr:row>
      <xdr:rowOff>85725</xdr:rowOff>
    </xdr:to>
    <xdr:sp macro="" textlink="">
      <xdr:nvSpPr>
        <xdr:cNvPr id="107" name="角丸四角形吹き出し 106">
          <a:extLst>
            <a:ext uri="{FF2B5EF4-FFF2-40B4-BE49-F238E27FC236}">
              <a16:creationId xmlns:a16="http://schemas.microsoft.com/office/drawing/2014/main" id="{E4524861-9979-442A-B96E-1E9D11553589}"/>
            </a:ext>
          </a:extLst>
        </xdr:cNvPr>
        <xdr:cNvSpPr/>
      </xdr:nvSpPr>
      <xdr:spPr>
        <a:xfrm>
          <a:off x="5419724" y="495300"/>
          <a:ext cx="885825" cy="1228725"/>
        </a:xfrm>
        <a:prstGeom prst="wedgeRoundRectCallout">
          <a:avLst>
            <a:gd name="adj1" fmla="val 71585"/>
            <a:gd name="adj2" fmla="val 88342"/>
            <a:gd name="adj3" fmla="val 16667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練習水域を使用しない場合、境界ﾌﾞｲを越え上流へ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A37"/>
  <sheetViews>
    <sheetView workbookViewId="0"/>
    <sheetView workbookViewId="1"/>
  </sheetViews>
  <sheetFormatPr defaultColWidth="8.7265625" defaultRowHeight="13"/>
  <cols>
    <col min="1" max="1" width="19.6328125" customWidth="1"/>
    <col min="2" max="2" width="4.08984375" customWidth="1"/>
    <col min="5" max="5" width="53.7265625" customWidth="1"/>
    <col min="6" max="6" width="2.08984375" customWidth="1"/>
    <col min="7" max="7" width="1" customWidth="1"/>
    <col min="8" max="8" width="8.08984375" customWidth="1"/>
    <col min="11" max="11" width="10.6328125" customWidth="1"/>
    <col min="12" max="12" width="11.36328125" customWidth="1"/>
    <col min="13" max="13" width="12.6328125" customWidth="1"/>
    <col min="14" max="14" width="33.36328125" customWidth="1"/>
    <col min="15" max="15" width="8.6328125" customWidth="1"/>
    <col min="16" max="16" width="3.08984375" customWidth="1"/>
    <col min="19" max="19" width="26.6328125" customWidth="1"/>
    <col min="21" max="21" width="14.08984375" customWidth="1"/>
    <col min="26" max="26" width="22.36328125" customWidth="1"/>
    <col min="27" max="27" width="13.6328125" customWidth="1"/>
  </cols>
  <sheetData>
    <row r="7" spans="1:15" s="13" customFormat="1" ht="28.5" customHeight="1">
      <c r="A7" s="375"/>
      <c r="B7" s="375"/>
      <c r="C7" s="375"/>
      <c r="D7" s="375"/>
      <c r="E7" s="375"/>
      <c r="F7" s="375"/>
      <c r="G7" s="375"/>
      <c r="I7" s="375"/>
      <c r="J7" s="375"/>
      <c r="K7" s="375"/>
      <c r="L7" s="375"/>
      <c r="M7" s="375"/>
      <c r="N7" s="375"/>
      <c r="O7" s="202"/>
    </row>
    <row r="8" spans="1:15" s="13" customFormat="1" ht="14.25" customHeight="1">
      <c r="A8" s="202"/>
      <c r="B8" s="202"/>
      <c r="C8" s="202"/>
      <c r="D8" s="202"/>
      <c r="E8" s="202"/>
      <c r="F8" s="202"/>
      <c r="G8" s="202"/>
      <c r="I8" s="202"/>
      <c r="J8" s="202"/>
      <c r="K8" s="202"/>
      <c r="L8" s="202"/>
      <c r="M8" s="202"/>
      <c r="N8" s="202"/>
      <c r="O8" s="202"/>
    </row>
    <row r="9" spans="1:15" s="13" customFormat="1" ht="30" customHeight="1">
      <c r="A9" s="376"/>
      <c r="B9" s="376"/>
      <c r="C9" s="376"/>
      <c r="D9" s="376"/>
      <c r="E9" s="376"/>
      <c r="F9" s="376"/>
      <c r="G9" s="376"/>
      <c r="I9" s="376"/>
      <c r="J9" s="376"/>
      <c r="K9" s="376"/>
      <c r="L9" s="376"/>
      <c r="M9" s="376"/>
      <c r="N9" s="376"/>
      <c r="O9" s="376"/>
    </row>
    <row r="10" spans="1:15" s="13" customFormat="1" ht="14.25" customHeight="1">
      <c r="A10" s="205"/>
      <c r="B10" s="205"/>
      <c r="C10" s="205"/>
      <c r="D10" s="205"/>
      <c r="E10" s="205"/>
      <c r="F10" s="205"/>
      <c r="G10" s="205"/>
      <c r="I10" s="205"/>
      <c r="J10" s="205"/>
      <c r="K10" s="205"/>
      <c r="L10" s="205"/>
      <c r="M10" s="205"/>
      <c r="N10" s="205"/>
      <c r="O10" s="205"/>
    </row>
    <row r="11" spans="1:15" s="4" customFormat="1" ht="23.5">
      <c r="A11" s="377" t="s">
        <v>874</v>
      </c>
      <c r="B11" s="377"/>
      <c r="C11" s="377"/>
      <c r="D11" s="377"/>
      <c r="E11" s="377"/>
      <c r="F11" s="377"/>
      <c r="G11" s="377"/>
      <c r="I11" s="377" t="str">
        <f>A11</f>
        <v>第70回静岡県高等学校総合体育大会ボート競技</v>
      </c>
      <c r="J11" s="377"/>
      <c r="K11" s="377"/>
      <c r="L11" s="377"/>
      <c r="M11" s="377"/>
      <c r="N11" s="377"/>
      <c r="O11" s="377"/>
    </row>
    <row r="12" spans="1:15" s="4" customFormat="1" ht="9" customHeight="1">
      <c r="A12" s="7"/>
      <c r="I12" s="7"/>
    </row>
    <row r="13" spans="1:15" s="4" customFormat="1" ht="23.5">
      <c r="A13" s="377" t="s">
        <v>233</v>
      </c>
      <c r="B13" s="377"/>
      <c r="C13" s="377"/>
      <c r="D13" s="377"/>
      <c r="E13" s="377"/>
      <c r="F13" s="377"/>
      <c r="G13" s="377"/>
      <c r="I13" s="375" t="str">
        <f>A13</f>
        <v>　第１次予選</v>
      </c>
      <c r="J13" s="375"/>
      <c r="K13" s="375"/>
      <c r="L13" s="375"/>
      <c r="M13" s="375"/>
      <c r="N13" s="375"/>
    </row>
    <row r="14" spans="1:15" ht="23.5">
      <c r="A14" s="377"/>
      <c r="B14" s="377"/>
      <c r="C14" s="377"/>
      <c r="D14" s="377"/>
      <c r="E14" s="377"/>
      <c r="F14" s="377"/>
      <c r="G14" s="377"/>
      <c r="I14" s="377"/>
      <c r="J14" s="377"/>
      <c r="K14" s="377"/>
      <c r="L14" s="377"/>
      <c r="M14" s="377"/>
      <c r="N14" s="377"/>
      <c r="O14" s="377"/>
    </row>
    <row r="15" spans="1:15" ht="23.5">
      <c r="A15" s="206"/>
      <c r="I15" s="206"/>
    </row>
    <row r="16" spans="1:15" ht="23.5">
      <c r="A16" s="206"/>
      <c r="I16" s="206"/>
      <c r="J16" s="378" t="s">
        <v>234</v>
      </c>
      <c r="K16" s="378"/>
      <c r="L16" s="378"/>
      <c r="M16" s="378"/>
      <c r="N16" s="378"/>
    </row>
    <row r="17" spans="1:27" ht="23.5">
      <c r="A17" s="206"/>
      <c r="I17" s="206"/>
      <c r="J17" s="378"/>
      <c r="K17" s="378"/>
      <c r="L17" s="378"/>
      <c r="M17" s="378"/>
      <c r="N17" s="378"/>
    </row>
    <row r="18" spans="1:27" ht="28">
      <c r="J18" s="378"/>
      <c r="K18" s="378"/>
      <c r="L18" s="378"/>
      <c r="M18" s="378"/>
      <c r="N18" s="378"/>
      <c r="P18" s="207"/>
      <c r="Q18" s="207"/>
      <c r="R18" s="207"/>
      <c r="S18" s="207"/>
      <c r="U18" s="206"/>
    </row>
    <row r="19" spans="1:27" s="4" customFormat="1" ht="27.75" customHeight="1">
      <c r="A19"/>
      <c r="B19"/>
      <c r="C19"/>
      <c r="D19"/>
      <c r="E19"/>
      <c r="F19"/>
      <c r="G19"/>
      <c r="I19"/>
      <c r="J19"/>
      <c r="K19"/>
      <c r="L19"/>
      <c r="M19"/>
      <c r="N19"/>
      <c r="O19"/>
      <c r="P19" s="207"/>
      <c r="Q19" s="207"/>
      <c r="R19" s="207"/>
      <c r="S19" s="207"/>
      <c r="U19" s="206"/>
      <c r="V19"/>
      <c r="W19"/>
      <c r="X19"/>
      <c r="Y19"/>
      <c r="Z19"/>
      <c r="AA19"/>
    </row>
    <row r="20" spans="1:27" ht="23.25" customHeight="1">
      <c r="A20" s="208" t="s">
        <v>235</v>
      </c>
      <c r="B20" s="4"/>
      <c r="C20" s="372" t="s">
        <v>388</v>
      </c>
      <c r="D20" s="372"/>
      <c r="E20" s="372"/>
      <c r="F20" s="372"/>
      <c r="G20" s="4"/>
      <c r="I20" s="208" t="s">
        <v>235</v>
      </c>
      <c r="J20" s="4"/>
      <c r="K20" s="372" t="str">
        <f>C20</f>
        <v>令和４年４月９日（土）・10（日）</v>
      </c>
      <c r="L20" s="372"/>
      <c r="M20" s="372"/>
      <c r="N20" s="372"/>
      <c r="O20" s="4"/>
      <c r="P20" s="204"/>
      <c r="Q20" s="204"/>
      <c r="R20" s="204"/>
      <c r="S20" s="204"/>
    </row>
    <row r="21" spans="1:27" ht="23.25" customHeight="1">
      <c r="A21" s="208"/>
      <c r="B21" s="4"/>
      <c r="C21" s="209"/>
      <c r="D21" s="209"/>
      <c r="E21" s="209"/>
      <c r="F21" s="209"/>
      <c r="G21" s="4"/>
      <c r="I21" s="208"/>
      <c r="J21" s="4"/>
      <c r="K21" s="209"/>
      <c r="L21" s="209"/>
      <c r="M21" s="209"/>
      <c r="N21" s="209"/>
      <c r="O21" s="4"/>
      <c r="P21" s="204"/>
      <c r="Q21" s="204"/>
      <c r="R21" s="204"/>
      <c r="S21" s="204"/>
    </row>
    <row r="22" spans="1:27" s="4" customFormat="1" ht="22.5" customHeight="1">
      <c r="A22" s="194"/>
      <c r="B22"/>
      <c r="C22"/>
      <c r="D22"/>
      <c r="E22"/>
      <c r="F22"/>
      <c r="G22"/>
      <c r="I22" s="194"/>
      <c r="J22"/>
      <c r="K22"/>
      <c r="L22"/>
      <c r="M22"/>
      <c r="N22"/>
      <c r="O22"/>
      <c r="P22" s="210"/>
      <c r="Q22" s="210"/>
      <c r="R22" s="210"/>
      <c r="S22" s="210"/>
    </row>
    <row r="23" spans="1:27" ht="24" customHeight="1">
      <c r="A23" s="208" t="s">
        <v>236</v>
      </c>
      <c r="B23" s="4"/>
      <c r="C23" s="372" t="s">
        <v>237</v>
      </c>
      <c r="D23" s="372"/>
      <c r="E23" s="372"/>
      <c r="F23" s="372"/>
      <c r="G23" s="4"/>
      <c r="I23" s="208" t="s">
        <v>236</v>
      </c>
      <c r="J23" s="4"/>
      <c r="K23" s="372" t="s">
        <v>237</v>
      </c>
      <c r="L23" s="372"/>
      <c r="M23" s="372"/>
      <c r="N23" s="372"/>
      <c r="O23" s="4"/>
      <c r="P23" s="210"/>
      <c r="Q23" s="210"/>
      <c r="R23" s="210"/>
      <c r="S23" s="210"/>
    </row>
    <row r="24" spans="1:27" ht="24" customHeight="1">
      <c r="A24" s="208"/>
      <c r="B24" s="4"/>
      <c r="C24" s="209"/>
      <c r="D24" s="209"/>
      <c r="E24" s="209"/>
      <c r="F24" s="209"/>
      <c r="G24" s="4"/>
      <c r="I24" s="208"/>
      <c r="J24" s="4"/>
      <c r="K24" s="209"/>
      <c r="L24" s="209"/>
      <c r="M24" s="209"/>
      <c r="N24" s="209"/>
      <c r="O24" s="4"/>
      <c r="P24" s="210"/>
      <c r="Q24" s="210"/>
      <c r="R24" s="210"/>
      <c r="S24" s="210"/>
    </row>
    <row r="25" spans="1:27" s="4" customFormat="1" ht="19.899999999999999" customHeight="1">
      <c r="A25" s="194"/>
      <c r="B25"/>
      <c r="C25"/>
      <c r="D25"/>
      <c r="E25"/>
      <c r="F25"/>
      <c r="G25"/>
      <c r="I25" s="194"/>
      <c r="J25"/>
      <c r="K25"/>
      <c r="L25"/>
      <c r="M25"/>
      <c r="N25"/>
      <c r="O25"/>
    </row>
    <row r="26" spans="1:27" s="4" customFormat="1" ht="19.899999999999999" customHeight="1">
      <c r="A26" s="211" t="s">
        <v>238</v>
      </c>
      <c r="C26" s="373" t="s">
        <v>239</v>
      </c>
      <c r="D26" s="373"/>
      <c r="E26" s="373"/>
      <c r="F26" s="373"/>
      <c r="I26" s="212" t="s">
        <v>238</v>
      </c>
      <c r="K26" s="373" t="s">
        <v>240</v>
      </c>
      <c r="L26" s="373"/>
      <c r="M26" s="373"/>
      <c r="N26" s="373"/>
      <c r="P26" s="213"/>
      <c r="Q26" s="213"/>
      <c r="R26" s="213"/>
      <c r="S26" s="213"/>
      <c r="U26" s="214"/>
      <c r="V26" s="213"/>
      <c r="W26" s="213"/>
      <c r="X26" s="213"/>
      <c r="Y26" s="213"/>
      <c r="Z26" s="213"/>
      <c r="AA26" s="213"/>
    </row>
    <row r="27" spans="1:27" s="4" customFormat="1" ht="19.899999999999999" customHeight="1">
      <c r="A27" s="208"/>
      <c r="C27" s="373" t="s">
        <v>241</v>
      </c>
      <c r="D27" s="373"/>
      <c r="E27" s="373"/>
      <c r="F27" s="373"/>
      <c r="I27" s="208"/>
      <c r="K27" s="373" t="s">
        <v>241</v>
      </c>
      <c r="L27" s="373"/>
      <c r="M27" s="373"/>
      <c r="N27" s="373"/>
      <c r="P27" s="213"/>
      <c r="Q27" s="213"/>
      <c r="R27" s="213"/>
      <c r="S27" s="213"/>
      <c r="U27" s="213"/>
      <c r="V27" s="213"/>
      <c r="W27" s="213"/>
      <c r="X27" s="213"/>
      <c r="Y27" s="213"/>
      <c r="Z27" s="213"/>
      <c r="AA27" s="213"/>
    </row>
    <row r="28" spans="1:27" ht="18.75" customHeight="1">
      <c r="A28" s="194"/>
      <c r="C28" s="373" t="s">
        <v>242</v>
      </c>
      <c r="D28" s="373"/>
      <c r="E28" s="373"/>
      <c r="F28" s="373"/>
      <c r="G28" s="4"/>
      <c r="I28" s="208"/>
      <c r="J28" s="4"/>
      <c r="K28" s="373" t="s">
        <v>242</v>
      </c>
      <c r="L28" s="373"/>
      <c r="M28" s="373"/>
      <c r="N28" s="373"/>
      <c r="O28" s="4"/>
      <c r="P28" s="213"/>
      <c r="Q28" s="213"/>
      <c r="R28" s="213"/>
      <c r="S28" s="213"/>
      <c r="U28" s="213"/>
      <c r="V28" s="213"/>
      <c r="W28" s="213"/>
      <c r="X28" s="213"/>
      <c r="Y28" s="213"/>
      <c r="Z28" s="213"/>
      <c r="AA28" s="213"/>
    </row>
    <row r="29" spans="1:27" s="4" customFormat="1" ht="19.899999999999999" customHeight="1">
      <c r="G29"/>
      <c r="I29" s="194"/>
      <c r="J29"/>
      <c r="O29"/>
    </row>
    <row r="30" spans="1:27" s="4" customFormat="1" ht="19.899999999999999" customHeight="1">
      <c r="A30" s="194"/>
      <c r="B30"/>
      <c r="G30"/>
      <c r="I30" s="194"/>
      <c r="J30"/>
      <c r="K30" s="209"/>
      <c r="L30" s="209"/>
      <c r="M30" s="209"/>
      <c r="N30" s="209"/>
      <c r="O30"/>
    </row>
    <row r="31" spans="1:27" s="4" customFormat="1" ht="19.899999999999999" customHeight="1">
      <c r="A31" s="208" t="s">
        <v>243</v>
      </c>
      <c r="C31" s="374" t="s">
        <v>244</v>
      </c>
      <c r="D31" s="374"/>
      <c r="E31" s="374"/>
      <c r="F31" s="374"/>
      <c r="I31" s="208" t="s">
        <v>243</v>
      </c>
      <c r="K31" s="372" t="s">
        <v>244</v>
      </c>
      <c r="L31" s="372"/>
      <c r="M31" s="372"/>
      <c r="N31" s="372"/>
    </row>
    <row r="32" spans="1:27" ht="18.75" customHeight="1">
      <c r="B32" s="4"/>
      <c r="C32" s="372" t="s">
        <v>245</v>
      </c>
      <c r="D32" s="372"/>
      <c r="E32" s="372"/>
      <c r="F32" s="372"/>
      <c r="G32" s="4"/>
      <c r="I32" s="194"/>
      <c r="K32" s="372" t="s">
        <v>246</v>
      </c>
      <c r="L32" s="372"/>
      <c r="M32" s="372"/>
      <c r="N32" s="372"/>
      <c r="O32" s="4"/>
    </row>
    <row r="33" spans="1:15" s="4" customFormat="1" ht="19.899999999999999" customHeight="1">
      <c r="A33" s="194"/>
      <c r="B33"/>
      <c r="C33" s="372" t="s">
        <v>247</v>
      </c>
      <c r="D33" s="372"/>
      <c r="E33" s="372"/>
      <c r="F33" s="372"/>
      <c r="G33"/>
      <c r="I33" s="194"/>
      <c r="J33"/>
      <c r="K33" s="372" t="s">
        <v>248</v>
      </c>
      <c r="L33" s="372"/>
      <c r="M33" s="372"/>
      <c r="N33" s="372"/>
      <c r="O33"/>
    </row>
    <row r="34" spans="1:15" s="4" customFormat="1" ht="19.899999999999999" customHeight="1">
      <c r="A34" s="194"/>
      <c r="B34"/>
      <c r="C34" s="373"/>
      <c r="D34" s="373"/>
      <c r="E34" s="373"/>
      <c r="F34" s="373"/>
      <c r="G34"/>
      <c r="O34"/>
    </row>
    <row r="35" spans="1:15" s="4" customFormat="1" ht="19.899999999999999" customHeight="1">
      <c r="K35"/>
      <c r="L35"/>
      <c r="M35"/>
      <c r="N35"/>
    </row>
    <row r="36" spans="1:15" s="4" customFormat="1" ht="19.899999999999999" customHeight="1">
      <c r="A36" s="208" t="s">
        <v>249</v>
      </c>
      <c r="C36" s="372" t="s">
        <v>250</v>
      </c>
      <c r="D36" s="372"/>
      <c r="E36" s="372"/>
      <c r="F36" s="372"/>
      <c r="I36" s="208" t="s">
        <v>249</v>
      </c>
      <c r="K36" s="372" t="s">
        <v>250</v>
      </c>
      <c r="L36" s="372"/>
      <c r="M36" s="372"/>
      <c r="N36" s="372"/>
    </row>
    <row r="37" spans="1:15" ht="19">
      <c r="A37" s="4"/>
      <c r="B37" s="4"/>
      <c r="C37" s="372" t="s">
        <v>240</v>
      </c>
      <c r="D37" s="372"/>
      <c r="E37" s="372"/>
      <c r="F37" s="372"/>
      <c r="G37" s="4"/>
      <c r="I37" s="4"/>
      <c r="J37" s="4"/>
      <c r="K37" s="372" t="s">
        <v>240</v>
      </c>
      <c r="L37" s="372"/>
      <c r="M37" s="372"/>
      <c r="N37" s="372"/>
      <c r="O37" s="4"/>
    </row>
  </sheetData>
  <sheetProtection selectLockedCells="1" selectUnlockedCells="1"/>
  <mergeCells count="32">
    <mergeCell ref="C20:F20"/>
    <mergeCell ref="K20:N20"/>
    <mergeCell ref="A7:G7"/>
    <mergeCell ref="I7:N7"/>
    <mergeCell ref="A9:G9"/>
    <mergeCell ref="I9:O9"/>
    <mergeCell ref="A11:G11"/>
    <mergeCell ref="I11:O11"/>
    <mergeCell ref="A13:G13"/>
    <mergeCell ref="I13:N13"/>
    <mergeCell ref="A14:G14"/>
    <mergeCell ref="I14:O14"/>
    <mergeCell ref="J16:N18"/>
    <mergeCell ref="C23:F23"/>
    <mergeCell ref="K23:N23"/>
    <mergeCell ref="C26:F26"/>
    <mergeCell ref="K26:N26"/>
    <mergeCell ref="C27:F27"/>
    <mergeCell ref="K27:N27"/>
    <mergeCell ref="C37:F37"/>
    <mergeCell ref="K37:N37"/>
    <mergeCell ref="C28:F28"/>
    <mergeCell ref="K28:N28"/>
    <mergeCell ref="C31:F31"/>
    <mergeCell ref="K31:N31"/>
    <mergeCell ref="C32:F32"/>
    <mergeCell ref="K32:N32"/>
    <mergeCell ref="C33:F33"/>
    <mergeCell ref="K33:N33"/>
    <mergeCell ref="C34:F34"/>
    <mergeCell ref="C36:F36"/>
    <mergeCell ref="K36:N36"/>
  </mergeCells>
  <phoneticPr fontId="2"/>
  <pageMargins left="0.72013888888888888" right="0.35" top="0.72986111111111107" bottom="0.57986111111111116" header="0.51180555555555551" footer="0.51180555555555551"/>
  <pageSetup paperSize="9" scale="81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1"/>
  <sheetViews>
    <sheetView workbookViewId="0"/>
    <sheetView workbookViewId="1"/>
  </sheetViews>
  <sheetFormatPr defaultColWidth="8.90625" defaultRowHeight="13"/>
  <cols>
    <col min="1" max="1" width="8.90625" style="98"/>
    <col min="2" max="2" width="7.90625" bestFit="1" customWidth="1"/>
    <col min="3" max="3" width="4.453125" bestFit="1" customWidth="1"/>
    <col min="4" max="4" width="16.36328125" style="2" customWidth="1"/>
    <col min="5" max="5" width="5.6328125" bestFit="1" customWidth="1"/>
    <col min="6" max="6" width="8.6328125" bestFit="1" customWidth="1"/>
    <col min="7" max="7" width="7.36328125" bestFit="1" customWidth="1"/>
    <col min="8" max="8" width="5" bestFit="1" customWidth="1"/>
    <col min="9" max="9" width="5.453125" hidden="1" customWidth="1"/>
    <col min="10" max="10" width="5" hidden="1" customWidth="1"/>
    <col min="11" max="11" width="8.26953125" bestFit="1" customWidth="1"/>
    <col min="12" max="12" width="8.90625" style="1"/>
  </cols>
  <sheetData>
    <row r="1" spans="1:12">
      <c r="A1" s="92" t="s">
        <v>124</v>
      </c>
      <c r="B1" t="s">
        <v>25</v>
      </c>
      <c r="F1" s="1"/>
      <c r="G1" s="1"/>
    </row>
    <row r="2" spans="1:12">
      <c r="B2" s="1" t="s">
        <v>41</v>
      </c>
      <c r="D2" s="2" t="s">
        <v>30</v>
      </c>
      <c r="E2" t="s">
        <v>42</v>
      </c>
      <c r="F2" s="1" t="s">
        <v>108</v>
      </c>
      <c r="G2" s="1" t="s">
        <v>109</v>
      </c>
      <c r="H2" t="s">
        <v>43</v>
      </c>
      <c r="I2" t="s">
        <v>44</v>
      </c>
      <c r="J2" t="s">
        <v>45</v>
      </c>
      <c r="K2" s="1" t="s">
        <v>110</v>
      </c>
      <c r="L2" s="1" t="s">
        <v>111</v>
      </c>
    </row>
    <row r="3" spans="1:12">
      <c r="B3" s="1">
        <v>1</v>
      </c>
      <c r="C3">
        <v>1</v>
      </c>
      <c r="D3" s="2" t="s">
        <v>418</v>
      </c>
      <c r="E3" s="3" t="s">
        <v>8</v>
      </c>
      <c r="F3" s="12" t="s">
        <v>412</v>
      </c>
      <c r="G3" s="12" t="s">
        <v>413</v>
      </c>
      <c r="H3" s="92">
        <v>3</v>
      </c>
      <c r="I3" s="1"/>
      <c r="J3" s="1"/>
      <c r="K3" s="3" t="s">
        <v>416</v>
      </c>
      <c r="L3" s="1" t="s">
        <v>417</v>
      </c>
    </row>
    <row r="4" spans="1:12">
      <c r="B4" s="1"/>
      <c r="C4">
        <v>2</v>
      </c>
      <c r="E4" s="3" t="s">
        <v>6</v>
      </c>
      <c r="F4" s="12" t="s">
        <v>414</v>
      </c>
      <c r="G4" s="12" t="s">
        <v>415</v>
      </c>
      <c r="H4" s="92">
        <v>3</v>
      </c>
      <c r="I4" s="1"/>
      <c r="J4" s="1"/>
    </row>
    <row r="5" spans="1:12">
      <c r="B5" s="1"/>
      <c r="C5">
        <v>3</v>
      </c>
      <c r="E5" s="3" t="s">
        <v>33</v>
      </c>
      <c r="F5" s="92"/>
      <c r="G5" s="92"/>
      <c r="H5" s="92"/>
      <c r="I5" s="1"/>
      <c r="J5" s="1"/>
    </row>
    <row r="6" spans="1:12">
      <c r="B6" s="1">
        <v>2</v>
      </c>
      <c r="C6">
        <v>4</v>
      </c>
      <c r="D6" s="2" t="s">
        <v>605</v>
      </c>
      <c r="E6" s="3" t="s">
        <v>8</v>
      </c>
      <c r="F6" s="12" t="s">
        <v>589</v>
      </c>
      <c r="G6" s="12" t="s">
        <v>590</v>
      </c>
      <c r="H6" s="12">
        <v>3</v>
      </c>
      <c r="I6" s="3"/>
      <c r="J6" s="3"/>
      <c r="K6" s="3" t="s">
        <v>190</v>
      </c>
      <c r="L6" s="1" t="s">
        <v>588</v>
      </c>
    </row>
    <row r="7" spans="1:12">
      <c r="B7" s="1"/>
      <c r="C7">
        <v>5</v>
      </c>
      <c r="E7" s="3" t="s">
        <v>6</v>
      </c>
      <c r="F7" s="94" t="s">
        <v>591</v>
      </c>
      <c r="G7" s="12" t="s">
        <v>592</v>
      </c>
      <c r="H7" s="12">
        <v>3</v>
      </c>
      <c r="I7" s="3"/>
      <c r="J7" s="3"/>
      <c r="K7" s="6"/>
    </row>
    <row r="8" spans="1:12">
      <c r="B8" s="1"/>
      <c r="C8">
        <v>6</v>
      </c>
      <c r="E8" s="3" t="s">
        <v>33</v>
      </c>
      <c r="F8" s="92" t="s">
        <v>593</v>
      </c>
      <c r="G8" s="92" t="s">
        <v>594</v>
      </c>
      <c r="H8" s="92">
        <v>3</v>
      </c>
      <c r="I8" s="1"/>
      <c r="J8" s="1"/>
      <c r="K8" s="6"/>
    </row>
    <row r="9" spans="1:12">
      <c r="B9" s="1">
        <v>3</v>
      </c>
      <c r="C9">
        <v>7</v>
      </c>
      <c r="D9" s="2" t="s">
        <v>606</v>
      </c>
      <c r="E9" s="3" t="s">
        <v>8</v>
      </c>
      <c r="F9" s="3" t="s">
        <v>595</v>
      </c>
      <c r="G9" s="3" t="s">
        <v>596</v>
      </c>
      <c r="H9" s="3">
        <v>2</v>
      </c>
      <c r="I9" s="3"/>
      <c r="J9" s="3"/>
      <c r="K9" s="3" t="s">
        <v>190</v>
      </c>
      <c r="L9" s="1" t="s">
        <v>608</v>
      </c>
    </row>
    <row r="10" spans="1:12">
      <c r="B10" s="1"/>
      <c r="C10">
        <v>8</v>
      </c>
      <c r="E10" s="3" t="s">
        <v>6</v>
      </c>
      <c r="F10" s="3" t="s">
        <v>597</v>
      </c>
      <c r="G10" s="3" t="s">
        <v>598</v>
      </c>
      <c r="H10" s="3">
        <v>3</v>
      </c>
      <c r="I10" s="3"/>
      <c r="J10" s="3"/>
    </row>
    <row r="11" spans="1:12">
      <c r="B11" s="1"/>
      <c r="C11">
        <v>9</v>
      </c>
      <c r="E11" s="3" t="s">
        <v>33</v>
      </c>
      <c r="F11" s="3"/>
      <c r="G11" s="3"/>
      <c r="H11" s="3"/>
      <c r="I11" s="9"/>
      <c r="J11" s="9"/>
    </row>
    <row r="12" spans="1:12">
      <c r="B12" s="1">
        <v>4</v>
      </c>
      <c r="C12">
        <v>10</v>
      </c>
      <c r="D12" s="2" t="s">
        <v>607</v>
      </c>
      <c r="E12" s="3" t="s">
        <v>8</v>
      </c>
      <c r="F12" s="12" t="s">
        <v>599</v>
      </c>
      <c r="G12" s="12" t="s">
        <v>600</v>
      </c>
      <c r="H12" s="92">
        <v>2</v>
      </c>
      <c r="I12" s="1"/>
      <c r="J12" s="1"/>
      <c r="K12" s="3" t="s">
        <v>190</v>
      </c>
      <c r="L12" s="1" t="s">
        <v>608</v>
      </c>
    </row>
    <row r="13" spans="1:12">
      <c r="B13" s="1"/>
      <c r="C13">
        <v>11</v>
      </c>
      <c r="E13" s="3" t="s">
        <v>6</v>
      </c>
      <c r="F13" s="12" t="s">
        <v>601</v>
      </c>
      <c r="G13" s="12" t="s">
        <v>602</v>
      </c>
      <c r="H13" s="92">
        <v>2</v>
      </c>
      <c r="I13" s="1"/>
      <c r="J13" s="1"/>
    </row>
    <row r="14" spans="1:12">
      <c r="B14" s="1"/>
      <c r="C14">
        <v>12</v>
      </c>
      <c r="E14" s="3" t="s">
        <v>33</v>
      </c>
      <c r="F14" s="92" t="s">
        <v>603</v>
      </c>
      <c r="G14" s="92" t="s">
        <v>604</v>
      </c>
      <c r="H14" s="92">
        <v>2</v>
      </c>
      <c r="I14" s="1"/>
      <c r="J14" s="1"/>
    </row>
    <row r="15" spans="1:12">
      <c r="B15" s="1">
        <v>5</v>
      </c>
      <c r="C15">
        <v>13</v>
      </c>
      <c r="D15" s="2" t="s">
        <v>648</v>
      </c>
      <c r="E15" s="3" t="s">
        <v>8</v>
      </c>
      <c r="F15" s="12" t="s">
        <v>644</v>
      </c>
      <c r="G15" s="12" t="s">
        <v>645</v>
      </c>
      <c r="H15" s="12">
        <v>2</v>
      </c>
      <c r="I15" s="3"/>
      <c r="J15" s="3"/>
      <c r="K15" s="3" t="s">
        <v>340</v>
      </c>
      <c r="L15" s="1" t="s">
        <v>647</v>
      </c>
    </row>
    <row r="16" spans="1:12">
      <c r="B16" s="1"/>
      <c r="C16">
        <v>14</v>
      </c>
      <c r="E16" s="3" t="s">
        <v>6</v>
      </c>
      <c r="F16" s="94" t="s">
        <v>190</v>
      </c>
      <c r="G16" s="12" t="s">
        <v>646</v>
      </c>
      <c r="H16" s="12">
        <v>2</v>
      </c>
      <c r="I16" s="3"/>
      <c r="J16" s="3"/>
      <c r="K16" s="158"/>
    </row>
    <row r="17" spans="2:12">
      <c r="B17" s="1"/>
      <c r="C17">
        <v>15</v>
      </c>
      <c r="E17" s="3" t="s">
        <v>33</v>
      </c>
      <c r="F17" s="92"/>
      <c r="G17" s="92"/>
      <c r="H17" s="92"/>
      <c r="I17" s="1"/>
      <c r="J17" s="1"/>
      <c r="K17" s="158"/>
    </row>
    <row r="18" spans="2:12">
      <c r="B18" s="1">
        <v>6</v>
      </c>
      <c r="C18">
        <v>16</v>
      </c>
      <c r="D18" s="2" t="s">
        <v>697</v>
      </c>
      <c r="E18" s="3" t="s">
        <v>8</v>
      </c>
      <c r="F18" s="3" t="s">
        <v>682</v>
      </c>
      <c r="G18" s="3" t="s">
        <v>694</v>
      </c>
      <c r="H18" s="3">
        <v>2</v>
      </c>
      <c r="I18" s="3"/>
      <c r="J18" s="3"/>
      <c r="K18" s="1" t="s">
        <v>695</v>
      </c>
      <c r="L18" s="1" t="s">
        <v>696</v>
      </c>
    </row>
    <row r="19" spans="2:12">
      <c r="B19" s="1"/>
      <c r="C19">
        <v>17</v>
      </c>
      <c r="E19" s="3" t="s">
        <v>6</v>
      </c>
      <c r="F19" s="3" t="s">
        <v>698</v>
      </c>
      <c r="G19" s="3" t="s">
        <v>699</v>
      </c>
      <c r="H19" s="3">
        <v>3</v>
      </c>
      <c r="I19" s="3"/>
      <c r="J19" s="3"/>
    </row>
    <row r="20" spans="2:12">
      <c r="B20" s="1"/>
      <c r="C20">
        <v>18</v>
      </c>
      <c r="E20" s="3" t="s">
        <v>33</v>
      </c>
      <c r="F20" s="3" t="s">
        <v>700</v>
      </c>
      <c r="G20" s="3" t="s">
        <v>701</v>
      </c>
      <c r="H20" s="3">
        <v>2</v>
      </c>
      <c r="I20" s="9"/>
      <c r="J20" s="9"/>
    </row>
    <row r="21" spans="2:12">
      <c r="B21" s="1">
        <v>7</v>
      </c>
      <c r="C21">
        <v>19</v>
      </c>
      <c r="D21" s="2" t="s">
        <v>702</v>
      </c>
      <c r="E21" s="3" t="s">
        <v>24</v>
      </c>
      <c r="F21" s="3" t="s">
        <v>703</v>
      </c>
      <c r="G21" s="3" t="s">
        <v>704</v>
      </c>
      <c r="H21" s="3">
        <v>2</v>
      </c>
      <c r="I21" s="3"/>
      <c r="J21" s="3"/>
      <c r="K21" s="1" t="s">
        <v>695</v>
      </c>
      <c r="L21" s="1" t="s">
        <v>696</v>
      </c>
    </row>
    <row r="22" spans="2:12">
      <c r="B22" s="1"/>
      <c r="C22">
        <v>20</v>
      </c>
      <c r="E22" s="3" t="s">
        <v>26</v>
      </c>
      <c r="F22" s="3" t="s">
        <v>705</v>
      </c>
      <c r="G22" s="3" t="s">
        <v>706</v>
      </c>
      <c r="H22" s="3">
        <v>2</v>
      </c>
      <c r="I22" s="3"/>
      <c r="J22" s="3"/>
    </row>
    <row r="23" spans="2:12">
      <c r="B23" s="1"/>
      <c r="C23">
        <v>21</v>
      </c>
      <c r="E23" s="3" t="s">
        <v>33</v>
      </c>
      <c r="F23" s="3" t="s">
        <v>707</v>
      </c>
      <c r="G23" s="3" t="s">
        <v>708</v>
      </c>
      <c r="H23" s="3">
        <v>2</v>
      </c>
      <c r="I23" s="9"/>
      <c r="J23" s="9"/>
    </row>
    <row r="24" spans="2:12">
      <c r="B24" s="1">
        <v>8</v>
      </c>
      <c r="C24">
        <v>22</v>
      </c>
      <c r="D24" s="2" t="s">
        <v>709</v>
      </c>
      <c r="E24" s="3" t="s">
        <v>24</v>
      </c>
      <c r="F24" s="3" t="s">
        <v>710</v>
      </c>
      <c r="G24" s="3" t="s">
        <v>711</v>
      </c>
      <c r="H24" s="3">
        <v>2</v>
      </c>
      <c r="I24" s="3"/>
      <c r="J24" s="3"/>
      <c r="K24" s="1" t="s">
        <v>695</v>
      </c>
      <c r="L24" s="1" t="s">
        <v>696</v>
      </c>
    </row>
    <row r="25" spans="2:12">
      <c r="B25" s="1"/>
      <c r="C25">
        <v>23</v>
      </c>
      <c r="E25" s="3" t="s">
        <v>26</v>
      </c>
      <c r="F25" s="3" t="s">
        <v>712</v>
      </c>
      <c r="G25" s="3" t="s">
        <v>713</v>
      </c>
      <c r="H25" s="3">
        <v>2</v>
      </c>
      <c r="I25" s="3"/>
      <c r="J25" s="3"/>
    </row>
    <row r="26" spans="2:12">
      <c r="B26" s="1"/>
      <c r="C26">
        <v>24</v>
      </c>
      <c r="E26" s="3" t="s">
        <v>33</v>
      </c>
      <c r="F26" s="3" t="s">
        <v>714</v>
      </c>
      <c r="G26" s="3" t="s">
        <v>715</v>
      </c>
      <c r="H26" s="3">
        <v>2</v>
      </c>
      <c r="I26" s="9"/>
      <c r="J26" s="9"/>
    </row>
    <row r="27" spans="2:12">
      <c r="B27" s="1">
        <v>9</v>
      </c>
      <c r="C27">
        <v>25</v>
      </c>
      <c r="D27" s="2" t="s">
        <v>716</v>
      </c>
      <c r="E27" s="3" t="s">
        <v>24</v>
      </c>
      <c r="F27" s="3" t="s">
        <v>717</v>
      </c>
      <c r="G27" s="3" t="s">
        <v>718</v>
      </c>
      <c r="H27" s="3">
        <v>2</v>
      </c>
      <c r="I27" s="3"/>
      <c r="J27" s="3"/>
      <c r="K27" s="3" t="s">
        <v>695</v>
      </c>
      <c r="L27" s="1" t="s">
        <v>696</v>
      </c>
    </row>
    <row r="28" spans="2:12">
      <c r="B28" s="1"/>
      <c r="C28">
        <v>26</v>
      </c>
      <c r="E28" s="3" t="s">
        <v>26</v>
      </c>
      <c r="F28" s="1" t="s">
        <v>695</v>
      </c>
      <c r="G28" s="1" t="s">
        <v>719</v>
      </c>
      <c r="H28" s="3">
        <v>2</v>
      </c>
      <c r="I28" s="3"/>
      <c r="J28" s="3"/>
    </row>
    <row r="29" spans="2:12" ht="12.75" customHeight="1">
      <c r="B29" s="1"/>
      <c r="C29">
        <v>27</v>
      </c>
      <c r="E29" s="3" t="s">
        <v>33</v>
      </c>
      <c r="F29" s="1" t="s">
        <v>720</v>
      </c>
      <c r="G29" s="1" t="s">
        <v>721</v>
      </c>
      <c r="H29" s="9">
        <v>2</v>
      </c>
    </row>
    <row r="30" spans="2:12" ht="12.75" customHeight="1">
      <c r="B30" s="1">
        <v>10</v>
      </c>
      <c r="C30">
        <v>28</v>
      </c>
      <c r="D30" s="2" t="s">
        <v>735</v>
      </c>
      <c r="E30" s="3" t="s">
        <v>24</v>
      </c>
      <c r="F30" s="3" t="s">
        <v>786</v>
      </c>
      <c r="G30" s="3" t="s">
        <v>787</v>
      </c>
      <c r="H30" s="1">
        <v>3</v>
      </c>
      <c r="I30" s="1"/>
      <c r="J30" s="1"/>
      <c r="K30" s="3" t="s">
        <v>788</v>
      </c>
      <c r="L30" s="1" t="s">
        <v>789</v>
      </c>
    </row>
    <row r="31" spans="2:12" ht="12.75" customHeight="1">
      <c r="B31" s="1"/>
      <c r="C31">
        <v>29</v>
      </c>
      <c r="E31" s="3" t="s">
        <v>26</v>
      </c>
      <c r="F31" s="1" t="s">
        <v>763</v>
      </c>
      <c r="G31" s="1" t="s">
        <v>790</v>
      </c>
      <c r="H31" s="1">
        <v>2</v>
      </c>
      <c r="I31" s="1"/>
      <c r="J31" s="1"/>
    </row>
    <row r="32" spans="2:12" ht="12.75" customHeight="1">
      <c r="B32" s="1"/>
      <c r="C32">
        <v>30</v>
      </c>
      <c r="E32" s="3" t="s">
        <v>33</v>
      </c>
      <c r="F32" s="92" t="s">
        <v>736</v>
      </c>
      <c r="G32" s="92" t="s">
        <v>737</v>
      </c>
      <c r="H32" s="48">
        <v>3</v>
      </c>
      <c r="I32" s="1"/>
      <c r="J32" s="1"/>
    </row>
    <row r="33" spans="2:20" ht="12.75" customHeight="1">
      <c r="B33" s="1">
        <v>11</v>
      </c>
      <c r="C33">
        <v>31</v>
      </c>
      <c r="D33" s="2" t="s">
        <v>742</v>
      </c>
      <c r="E33" s="3" t="s">
        <v>24</v>
      </c>
      <c r="F33" s="3" t="s">
        <v>763</v>
      </c>
      <c r="G33" s="3" t="s">
        <v>791</v>
      </c>
      <c r="H33" s="3">
        <v>3</v>
      </c>
      <c r="I33" s="3"/>
      <c r="J33" s="3"/>
      <c r="K33" s="3" t="s">
        <v>788</v>
      </c>
      <c r="L33" s="1" t="s">
        <v>789</v>
      </c>
    </row>
    <row r="34" spans="2:20" ht="12.75" customHeight="1">
      <c r="B34" s="1"/>
      <c r="C34">
        <v>32</v>
      </c>
      <c r="E34" s="3" t="s">
        <v>26</v>
      </c>
      <c r="F34" s="3" t="s">
        <v>792</v>
      </c>
      <c r="G34" s="3" t="s">
        <v>793</v>
      </c>
      <c r="H34" s="3">
        <v>2</v>
      </c>
      <c r="I34" s="3"/>
      <c r="J34" s="3"/>
      <c r="K34" s="158"/>
    </row>
    <row r="35" spans="2:20" ht="12.75" customHeight="1">
      <c r="B35" s="1"/>
      <c r="C35">
        <v>33</v>
      </c>
      <c r="E35" s="3" t="s">
        <v>33</v>
      </c>
      <c r="F35" s="1" t="s">
        <v>748</v>
      </c>
      <c r="G35" s="1" t="s">
        <v>749</v>
      </c>
      <c r="H35" s="1">
        <v>2</v>
      </c>
      <c r="I35" s="1"/>
      <c r="J35" s="1"/>
      <c r="K35" s="158"/>
      <c r="M35" s="3"/>
      <c r="N35" s="3"/>
      <c r="O35" s="3"/>
      <c r="P35" s="3"/>
      <c r="Q35" s="3"/>
      <c r="R35" s="3"/>
      <c r="S35" s="3"/>
      <c r="T35" s="3"/>
    </row>
    <row r="36" spans="2:20" ht="12.75" customHeight="1">
      <c r="B36" s="1">
        <v>12</v>
      </c>
      <c r="C36">
        <v>34</v>
      </c>
      <c r="D36" s="2" t="s">
        <v>747</v>
      </c>
      <c r="E36" s="3" t="s">
        <v>24</v>
      </c>
      <c r="F36" s="3" t="s">
        <v>794</v>
      </c>
      <c r="G36" s="3" t="s">
        <v>795</v>
      </c>
      <c r="H36" s="3">
        <v>3</v>
      </c>
      <c r="I36" s="3"/>
      <c r="J36" s="3"/>
      <c r="K36" s="3" t="s">
        <v>752</v>
      </c>
      <c r="L36" s="1" t="s">
        <v>753</v>
      </c>
      <c r="N36" s="3"/>
      <c r="O36" s="3"/>
      <c r="P36" s="3"/>
      <c r="Q36" s="3"/>
      <c r="R36" s="3"/>
      <c r="S36" s="3"/>
    </row>
    <row r="37" spans="2:20" ht="12.75" customHeight="1">
      <c r="B37" s="1"/>
      <c r="C37">
        <v>35</v>
      </c>
      <c r="E37" s="3" t="s">
        <v>26</v>
      </c>
      <c r="F37" s="3" t="s">
        <v>796</v>
      </c>
      <c r="G37" s="3" t="s">
        <v>797</v>
      </c>
      <c r="H37" s="3">
        <v>2</v>
      </c>
      <c r="I37" s="3"/>
      <c r="J37" s="3"/>
      <c r="N37" s="3"/>
      <c r="O37" s="1"/>
      <c r="P37" s="1"/>
      <c r="Q37" s="1"/>
      <c r="R37" s="1"/>
      <c r="S37" s="1"/>
    </row>
    <row r="38" spans="2:20" ht="12.75" customHeight="1">
      <c r="B38" s="1"/>
      <c r="C38">
        <v>36</v>
      </c>
      <c r="E38" s="3" t="s">
        <v>33</v>
      </c>
      <c r="F38" s="9"/>
      <c r="G38" s="9"/>
      <c r="H38" s="9"/>
    </row>
    <row r="39" spans="2:20" ht="12.75" customHeight="1">
      <c r="B39" s="1">
        <v>13</v>
      </c>
      <c r="C39">
        <v>37</v>
      </c>
      <c r="E39" s="3" t="s">
        <v>24</v>
      </c>
      <c r="F39" s="3"/>
      <c r="G39" s="3"/>
      <c r="H39" s="3"/>
      <c r="I39" s="3"/>
      <c r="J39" s="3"/>
      <c r="K39" s="3"/>
    </row>
    <row r="40" spans="2:20" ht="12.75" customHeight="1">
      <c r="B40" s="1"/>
      <c r="C40">
        <v>38</v>
      </c>
      <c r="E40" s="3" t="s">
        <v>26</v>
      </c>
      <c r="F40" s="1"/>
      <c r="G40" s="3"/>
      <c r="H40" s="3"/>
      <c r="I40" s="3"/>
      <c r="J40" s="3"/>
    </row>
    <row r="41" spans="2:20" ht="12.75" customHeight="1">
      <c r="B41" s="1"/>
      <c r="C41">
        <v>39</v>
      </c>
      <c r="E41" s="3" t="s">
        <v>33</v>
      </c>
      <c r="F41" s="1"/>
      <c r="G41" s="9"/>
      <c r="H41" s="9"/>
    </row>
    <row r="42" spans="2:20">
      <c r="B42" s="1">
        <v>14</v>
      </c>
      <c r="C42">
        <v>40</v>
      </c>
      <c r="E42" s="3" t="s">
        <v>24</v>
      </c>
      <c r="F42" s="1"/>
      <c r="G42" s="1"/>
      <c r="H42" s="1"/>
      <c r="I42" s="1"/>
      <c r="J42" s="1"/>
      <c r="K42" s="3"/>
      <c r="M42" s="6"/>
      <c r="N42" s="6"/>
      <c r="O42" s="6"/>
      <c r="P42" s="6"/>
      <c r="Q42" s="6"/>
    </row>
    <row r="43" spans="2:20">
      <c r="B43" s="1"/>
      <c r="C43">
        <v>41</v>
      </c>
      <c r="E43" s="3" t="s">
        <v>26</v>
      </c>
      <c r="F43" s="1"/>
      <c r="G43" s="1"/>
      <c r="H43" s="1"/>
      <c r="I43" s="1"/>
      <c r="J43" s="1"/>
    </row>
    <row r="44" spans="2:20">
      <c r="B44" s="1"/>
      <c r="C44">
        <v>42</v>
      </c>
      <c r="E44" s="3" t="s">
        <v>33</v>
      </c>
      <c r="F44" s="1"/>
      <c r="G44" s="1"/>
      <c r="H44" s="78"/>
      <c r="I44" s="1"/>
      <c r="J44" s="1"/>
    </row>
    <row r="45" spans="2:20">
      <c r="B45" s="1">
        <v>15</v>
      </c>
      <c r="C45">
        <v>43</v>
      </c>
      <c r="E45" s="3" t="s">
        <v>24</v>
      </c>
      <c r="F45" s="3"/>
      <c r="G45" s="3"/>
      <c r="H45" s="3"/>
      <c r="I45" s="3"/>
      <c r="J45" s="3"/>
      <c r="K45" s="1"/>
    </row>
    <row r="46" spans="2:20">
      <c r="B46" s="1"/>
      <c r="C46">
        <v>44</v>
      </c>
      <c r="E46" s="3" t="s">
        <v>26</v>
      </c>
      <c r="F46" s="3"/>
      <c r="G46" s="3"/>
      <c r="H46" s="3"/>
      <c r="I46" s="3"/>
      <c r="J46" s="3"/>
      <c r="M46" s="6"/>
      <c r="N46" s="6"/>
    </row>
    <row r="47" spans="2:20">
      <c r="B47" s="1"/>
      <c r="C47">
        <v>45</v>
      </c>
      <c r="E47" s="3" t="s">
        <v>33</v>
      </c>
      <c r="F47" s="3"/>
      <c r="G47" s="3"/>
      <c r="H47" s="3"/>
      <c r="I47" s="9"/>
      <c r="J47" s="9"/>
      <c r="M47" s="6"/>
      <c r="N47" s="6"/>
    </row>
    <row r="48" spans="2:20">
      <c r="B48" s="1">
        <v>16</v>
      </c>
      <c r="C48">
        <v>46</v>
      </c>
      <c r="E48" s="3" t="s">
        <v>24</v>
      </c>
      <c r="F48" s="3"/>
      <c r="G48" s="3"/>
      <c r="H48" s="3"/>
      <c r="I48" s="3"/>
      <c r="J48" s="3"/>
      <c r="K48" s="1"/>
    </row>
    <row r="49" spans="2:16">
      <c r="B49" s="1"/>
      <c r="C49">
        <v>47</v>
      </c>
      <c r="E49" s="3" t="s">
        <v>26</v>
      </c>
      <c r="F49" s="1"/>
      <c r="G49" s="1"/>
      <c r="H49" s="3"/>
      <c r="I49" s="3"/>
      <c r="J49" s="3"/>
      <c r="M49" s="3"/>
      <c r="N49" s="3"/>
      <c r="O49" s="3"/>
      <c r="P49" s="3"/>
    </row>
    <row r="50" spans="2:16">
      <c r="B50" s="1"/>
      <c r="C50">
        <v>48</v>
      </c>
      <c r="E50" s="3" t="s">
        <v>33</v>
      </c>
      <c r="F50" s="1"/>
      <c r="G50" s="1"/>
      <c r="H50" s="9"/>
      <c r="M50" s="6"/>
      <c r="N50" s="6"/>
    </row>
    <row r="51" spans="2:16">
      <c r="B51" s="1">
        <v>17</v>
      </c>
      <c r="C51">
        <v>49</v>
      </c>
      <c r="E51" s="3" t="s">
        <v>8</v>
      </c>
      <c r="F51" s="3"/>
      <c r="G51" s="3"/>
      <c r="H51" s="3"/>
      <c r="I51" s="3"/>
      <c r="J51" s="3"/>
      <c r="K51" s="1"/>
      <c r="M51" s="6"/>
      <c r="N51" s="6"/>
    </row>
    <row r="52" spans="2:16">
      <c r="B52" s="1"/>
      <c r="C52">
        <v>50</v>
      </c>
      <c r="E52" s="3" t="s">
        <v>6</v>
      </c>
      <c r="F52" s="3"/>
      <c r="G52" s="3"/>
      <c r="H52" s="3"/>
      <c r="I52" s="3"/>
      <c r="J52" s="3"/>
      <c r="K52" s="158"/>
      <c r="M52" s="6"/>
      <c r="N52" s="6"/>
    </row>
    <row r="53" spans="2:16">
      <c r="B53" s="1"/>
      <c r="C53">
        <v>51</v>
      </c>
      <c r="E53" s="3" t="s">
        <v>33</v>
      </c>
      <c r="F53" s="1"/>
      <c r="G53" s="1"/>
      <c r="H53" s="1"/>
      <c r="I53" s="1"/>
      <c r="J53" s="1"/>
      <c r="K53" s="158"/>
      <c r="M53" s="6"/>
      <c r="N53" s="6"/>
    </row>
    <row r="54" spans="2:16">
      <c r="B54" s="1">
        <v>18</v>
      </c>
      <c r="C54">
        <v>52</v>
      </c>
      <c r="E54" s="3" t="s">
        <v>24</v>
      </c>
      <c r="F54" s="3"/>
      <c r="G54" s="3"/>
      <c r="H54" s="3"/>
      <c r="I54" s="3"/>
      <c r="J54" s="3"/>
      <c r="K54" s="3"/>
      <c r="M54" s="6"/>
      <c r="N54" s="6"/>
    </row>
    <row r="55" spans="2:16">
      <c r="B55" s="1"/>
      <c r="C55">
        <v>53</v>
      </c>
      <c r="E55" s="3" t="s">
        <v>26</v>
      </c>
      <c r="F55" s="3"/>
      <c r="G55" s="3"/>
      <c r="H55" s="3"/>
      <c r="I55" s="3"/>
      <c r="J55" s="3"/>
      <c r="M55" s="6"/>
      <c r="N55" s="6"/>
    </row>
    <row r="56" spans="2:16">
      <c r="B56" s="1"/>
      <c r="C56">
        <v>54</v>
      </c>
      <c r="E56" s="3" t="s">
        <v>33</v>
      </c>
      <c r="F56" s="3"/>
      <c r="G56" s="3"/>
      <c r="H56" s="3"/>
      <c r="I56" s="9"/>
      <c r="J56" s="9"/>
      <c r="M56" s="6"/>
      <c r="N56" s="6"/>
    </row>
    <row r="57" spans="2:16">
      <c r="B57" s="1">
        <v>19</v>
      </c>
      <c r="C57">
        <v>55</v>
      </c>
      <c r="E57" s="3" t="s">
        <v>24</v>
      </c>
      <c r="F57" s="3"/>
      <c r="G57" s="3"/>
      <c r="H57" s="3"/>
      <c r="I57" s="3"/>
      <c r="J57" s="3"/>
      <c r="K57" s="3"/>
      <c r="M57" s="6"/>
      <c r="N57" s="6"/>
    </row>
    <row r="58" spans="2:16">
      <c r="B58" s="1"/>
      <c r="C58">
        <v>56</v>
      </c>
      <c r="E58" s="3" t="s">
        <v>26</v>
      </c>
      <c r="F58" s="3"/>
      <c r="G58" s="3"/>
      <c r="H58" s="3"/>
      <c r="I58" s="3"/>
      <c r="J58" s="3"/>
      <c r="M58" s="6"/>
      <c r="N58" s="6"/>
    </row>
    <row r="59" spans="2:16">
      <c r="B59" s="1"/>
      <c r="C59">
        <v>57</v>
      </c>
      <c r="E59" s="3" t="s">
        <v>33</v>
      </c>
      <c r="M59" s="6"/>
      <c r="N59" s="6"/>
    </row>
    <row r="60" spans="2:16">
      <c r="B60" s="1">
        <v>20</v>
      </c>
      <c r="C60">
        <v>58</v>
      </c>
      <c r="D60" s="90"/>
      <c r="E60" s="3" t="s">
        <v>24</v>
      </c>
      <c r="F60" s="1"/>
      <c r="G60" s="1"/>
      <c r="H60" s="1"/>
      <c r="K60" s="1"/>
      <c r="L60" s="84"/>
      <c r="M60" s="6"/>
      <c r="N60" s="6"/>
    </row>
    <row r="61" spans="2:16">
      <c r="C61">
        <v>59</v>
      </c>
      <c r="E61" s="3" t="s">
        <v>26</v>
      </c>
      <c r="F61" s="1"/>
      <c r="G61" s="1"/>
      <c r="H61" s="1"/>
    </row>
    <row r="62" spans="2:16">
      <c r="C62">
        <v>60</v>
      </c>
      <c r="E62" s="3" t="s">
        <v>33</v>
      </c>
      <c r="F62" s="1"/>
      <c r="G62" s="1"/>
      <c r="H62" s="1"/>
    </row>
    <row r="63" spans="2:16">
      <c r="B63" s="1">
        <v>21</v>
      </c>
      <c r="C63">
        <v>61</v>
      </c>
      <c r="D63" s="90"/>
      <c r="E63" s="3" t="s">
        <v>24</v>
      </c>
      <c r="F63" s="1"/>
      <c r="G63" s="3"/>
      <c r="H63" s="1"/>
      <c r="I63" s="1"/>
      <c r="J63" s="1"/>
      <c r="K63" s="1"/>
      <c r="L63" s="84"/>
    </row>
    <row r="64" spans="2:16">
      <c r="C64">
        <v>62</v>
      </c>
      <c r="E64" s="3" t="s">
        <v>26</v>
      </c>
      <c r="F64" s="3"/>
      <c r="G64" s="3"/>
      <c r="H64" s="3"/>
      <c r="I64" s="1"/>
      <c r="J64" s="1"/>
    </row>
    <row r="65" spans="2:12">
      <c r="C65">
        <v>63</v>
      </c>
      <c r="E65" s="3" t="s">
        <v>33</v>
      </c>
      <c r="F65" s="1"/>
      <c r="G65" s="1"/>
      <c r="H65" s="1"/>
    </row>
    <row r="66" spans="2:12">
      <c r="B66" s="1">
        <v>22</v>
      </c>
      <c r="C66">
        <v>64</v>
      </c>
      <c r="D66" s="90"/>
      <c r="E66" s="3" t="s">
        <v>8</v>
      </c>
      <c r="F66" s="3"/>
      <c r="G66" s="3"/>
      <c r="H66" s="3"/>
      <c r="I66" s="3"/>
      <c r="J66" s="3"/>
      <c r="K66" s="1"/>
      <c r="L66" s="84"/>
    </row>
    <row r="67" spans="2:12">
      <c r="C67">
        <v>65</v>
      </c>
      <c r="E67" s="3" t="s">
        <v>6</v>
      </c>
      <c r="F67" s="3"/>
      <c r="G67" s="3"/>
      <c r="H67" s="3"/>
      <c r="I67" s="3"/>
      <c r="J67" s="3"/>
      <c r="K67" s="1"/>
    </row>
    <row r="68" spans="2:12">
      <c r="C68">
        <v>66</v>
      </c>
      <c r="E68" s="3" t="s">
        <v>33</v>
      </c>
      <c r="F68" s="1"/>
      <c r="G68" s="1"/>
      <c r="H68" s="1"/>
      <c r="I68" s="1"/>
      <c r="J68" s="1"/>
      <c r="K68" s="1"/>
    </row>
    <row r="69" spans="2:12">
      <c r="B69" s="1">
        <v>23</v>
      </c>
      <c r="C69">
        <v>67</v>
      </c>
      <c r="D69" s="90"/>
      <c r="E69" s="20" t="s">
        <v>8</v>
      </c>
      <c r="F69" s="9"/>
      <c r="G69" s="9"/>
      <c r="H69" s="3"/>
      <c r="I69" s="3"/>
      <c r="J69" s="3"/>
      <c r="K69" s="1"/>
      <c r="L69" s="84"/>
    </row>
    <row r="70" spans="2:12">
      <c r="B70" s="1"/>
      <c r="C70">
        <v>68</v>
      </c>
      <c r="D70" s="74"/>
      <c r="E70" s="20" t="s">
        <v>6</v>
      </c>
      <c r="F70" s="3"/>
      <c r="G70" s="3"/>
      <c r="H70" s="3"/>
      <c r="I70" s="3"/>
      <c r="J70" s="3"/>
      <c r="K70" s="1"/>
      <c r="L70" s="20"/>
    </row>
    <row r="71" spans="2:12">
      <c r="B71" s="1"/>
      <c r="C71">
        <v>69</v>
      </c>
      <c r="D71" s="74"/>
      <c r="E71" s="20" t="s">
        <v>33</v>
      </c>
      <c r="F71" s="1"/>
      <c r="G71" s="1"/>
      <c r="H71" s="1"/>
      <c r="I71" s="1"/>
      <c r="J71" s="1"/>
      <c r="K71" s="1"/>
      <c r="L71" s="20"/>
    </row>
    <row r="72" spans="2:12">
      <c r="B72" s="1">
        <v>24</v>
      </c>
      <c r="C72">
        <v>70</v>
      </c>
      <c r="D72" s="90"/>
      <c r="E72" s="20" t="s">
        <v>94</v>
      </c>
      <c r="F72" s="9"/>
      <c r="G72" s="9"/>
      <c r="H72" s="3"/>
      <c r="I72" s="3"/>
      <c r="J72" s="3"/>
      <c r="K72" s="1"/>
      <c r="L72" s="84"/>
    </row>
    <row r="73" spans="2:12">
      <c r="B73" s="1"/>
      <c r="C73">
        <v>71</v>
      </c>
      <c r="D73" s="74"/>
      <c r="E73" s="20" t="s">
        <v>95</v>
      </c>
      <c r="F73" s="3"/>
      <c r="G73" s="3"/>
      <c r="H73" s="3"/>
      <c r="I73" s="3"/>
      <c r="J73" s="3"/>
      <c r="K73" s="1"/>
      <c r="L73" s="20"/>
    </row>
    <row r="74" spans="2:12">
      <c r="B74" s="1"/>
      <c r="C74">
        <v>72</v>
      </c>
      <c r="D74" s="74"/>
      <c r="E74" s="20" t="s">
        <v>47</v>
      </c>
      <c r="F74" s="1"/>
      <c r="G74" s="1"/>
      <c r="H74" s="1"/>
      <c r="I74" s="1"/>
      <c r="J74" s="1"/>
      <c r="K74" s="1"/>
      <c r="L74" s="20"/>
    </row>
    <row r="75" spans="2:12">
      <c r="B75" s="1">
        <v>25</v>
      </c>
      <c r="C75">
        <v>73</v>
      </c>
      <c r="E75" s="20" t="s">
        <v>94</v>
      </c>
      <c r="F75" s="1"/>
      <c r="G75" s="1"/>
      <c r="H75" s="3"/>
      <c r="I75" s="3"/>
      <c r="J75" s="3"/>
      <c r="K75" s="3"/>
      <c r="L75" s="20"/>
    </row>
    <row r="76" spans="2:12">
      <c r="B76" s="1"/>
      <c r="C76">
        <v>74</v>
      </c>
      <c r="D76" s="74"/>
      <c r="E76" s="20" t="s">
        <v>96</v>
      </c>
      <c r="F76" s="9"/>
      <c r="G76" s="9"/>
      <c r="H76" s="3"/>
      <c r="I76" s="3"/>
      <c r="J76" s="3"/>
      <c r="K76" s="1"/>
      <c r="L76" s="20"/>
    </row>
    <row r="77" spans="2:12">
      <c r="B77" s="1"/>
      <c r="C77">
        <v>75</v>
      </c>
      <c r="D77" s="74"/>
      <c r="E77" s="20" t="s">
        <v>47</v>
      </c>
      <c r="F77" s="1"/>
      <c r="G77" s="1"/>
      <c r="H77" s="1"/>
      <c r="K77" s="1"/>
      <c r="L77" s="20"/>
    </row>
    <row r="78" spans="2:12">
      <c r="B78" s="1">
        <v>26</v>
      </c>
      <c r="C78">
        <v>76</v>
      </c>
      <c r="E78" s="20" t="s">
        <v>94</v>
      </c>
      <c r="F78" s="3"/>
      <c r="G78" s="3"/>
      <c r="H78" s="1"/>
      <c r="I78" s="1"/>
      <c r="J78" s="1"/>
      <c r="K78" s="3"/>
      <c r="L78" s="20"/>
    </row>
    <row r="79" spans="2:12">
      <c r="B79" s="1"/>
      <c r="C79">
        <v>77</v>
      </c>
      <c r="D79" s="74"/>
      <c r="E79" s="20" t="s">
        <v>97</v>
      </c>
      <c r="F79" s="3"/>
      <c r="G79" s="3"/>
      <c r="H79" s="1"/>
      <c r="I79" s="1"/>
      <c r="J79" s="1"/>
      <c r="K79" s="1"/>
      <c r="L79" s="20"/>
    </row>
    <row r="80" spans="2:12">
      <c r="B80" s="1"/>
      <c r="C80">
        <v>78</v>
      </c>
      <c r="D80" s="74"/>
      <c r="E80" s="20" t="s">
        <v>47</v>
      </c>
      <c r="F80" s="20"/>
      <c r="G80" s="20"/>
      <c r="H80" s="20"/>
      <c r="I80" s="21"/>
      <c r="J80" s="21"/>
      <c r="K80" s="21"/>
      <c r="L80" s="20"/>
    </row>
    <row r="81" spans="2:12">
      <c r="B81" s="1">
        <v>27</v>
      </c>
      <c r="C81">
        <v>79</v>
      </c>
      <c r="E81" s="20" t="s">
        <v>94</v>
      </c>
      <c r="F81" s="84"/>
      <c r="G81" s="84"/>
      <c r="H81" s="84"/>
      <c r="I81" s="21"/>
      <c r="J81" s="21"/>
      <c r="K81" s="3"/>
      <c r="L81" s="20"/>
    </row>
    <row r="82" spans="2:12">
      <c r="B82" s="1"/>
      <c r="C82">
        <v>80</v>
      </c>
      <c r="D82" s="74"/>
      <c r="E82" s="20" t="s">
        <v>95</v>
      </c>
      <c r="F82" s="84"/>
      <c r="G82" s="84"/>
      <c r="H82" s="84"/>
      <c r="I82" s="21"/>
      <c r="J82" s="21"/>
      <c r="K82" s="21"/>
      <c r="L82" s="20"/>
    </row>
    <row r="83" spans="2:12">
      <c r="C83">
        <v>81</v>
      </c>
      <c r="D83" s="74"/>
      <c r="E83" s="20" t="s">
        <v>47</v>
      </c>
      <c r="F83" s="20"/>
      <c r="G83" s="20"/>
      <c r="H83" s="20"/>
      <c r="I83" s="21"/>
      <c r="J83" s="21"/>
      <c r="K83" s="21"/>
      <c r="L83" s="20"/>
    </row>
    <row r="84" spans="2:12">
      <c r="B84" s="1">
        <v>28</v>
      </c>
      <c r="C84">
        <v>82</v>
      </c>
      <c r="D84" s="74"/>
      <c r="E84" s="20" t="s">
        <v>94</v>
      </c>
      <c r="F84" s="84"/>
      <c r="G84" s="84"/>
      <c r="H84" s="84"/>
      <c r="I84" s="21"/>
      <c r="J84" s="21"/>
      <c r="K84" s="84"/>
      <c r="L84" s="20"/>
    </row>
    <row r="85" spans="2:12">
      <c r="C85">
        <v>83</v>
      </c>
      <c r="D85" s="74"/>
      <c r="E85" s="20" t="s">
        <v>96</v>
      </c>
      <c r="F85" s="84"/>
      <c r="G85" s="84"/>
      <c r="H85" s="84"/>
      <c r="I85" s="21"/>
      <c r="J85" s="21"/>
      <c r="K85" s="21"/>
      <c r="L85" s="20"/>
    </row>
    <row r="86" spans="2:12">
      <c r="C86">
        <v>84</v>
      </c>
      <c r="D86" s="74"/>
      <c r="E86" s="20" t="s">
        <v>47</v>
      </c>
      <c r="F86" s="19"/>
      <c r="G86" s="19"/>
      <c r="H86" s="19"/>
      <c r="I86" s="19"/>
      <c r="J86" s="19"/>
      <c r="K86" s="19"/>
      <c r="L86" s="48"/>
    </row>
    <row r="87" spans="2:12">
      <c r="B87" s="1">
        <v>29</v>
      </c>
      <c r="C87">
        <v>85</v>
      </c>
      <c r="D87" s="74"/>
      <c r="E87" s="20" t="s">
        <v>94</v>
      </c>
      <c r="F87" s="86"/>
      <c r="G87" s="86"/>
      <c r="H87" s="86"/>
      <c r="K87" s="84"/>
    </row>
    <row r="88" spans="2:12">
      <c r="C88">
        <v>86</v>
      </c>
      <c r="E88" s="20" t="s">
        <v>95</v>
      </c>
      <c r="F88" s="86"/>
      <c r="G88" s="86"/>
      <c r="H88" s="86"/>
    </row>
    <row r="89" spans="2:12">
      <c r="C89">
        <v>87</v>
      </c>
      <c r="E89" s="20" t="s">
        <v>47</v>
      </c>
    </row>
    <row r="90" spans="2:12">
      <c r="B90" s="1">
        <v>30</v>
      </c>
      <c r="C90">
        <v>88</v>
      </c>
      <c r="D90" s="74"/>
      <c r="E90" s="20" t="s">
        <v>94</v>
      </c>
      <c r="F90" s="86"/>
      <c r="G90" s="86"/>
      <c r="H90" s="86"/>
      <c r="K90" s="84"/>
    </row>
    <row r="91" spans="2:12">
      <c r="C91">
        <v>89</v>
      </c>
      <c r="E91" s="20" t="s">
        <v>96</v>
      </c>
      <c r="F91" s="86"/>
      <c r="G91" s="86"/>
      <c r="H91" s="86"/>
    </row>
    <row r="92" spans="2:12">
      <c r="C92">
        <v>90</v>
      </c>
      <c r="E92" s="20" t="s">
        <v>47</v>
      </c>
    </row>
    <row r="93" spans="2:12">
      <c r="B93" s="1">
        <v>31</v>
      </c>
      <c r="C93">
        <v>91</v>
      </c>
      <c r="D93" s="74"/>
      <c r="E93" s="20" t="s">
        <v>94</v>
      </c>
      <c r="F93" s="86"/>
      <c r="G93" s="86"/>
      <c r="H93" s="86"/>
      <c r="K93" s="84"/>
    </row>
    <row r="94" spans="2:12">
      <c r="C94">
        <v>92</v>
      </c>
      <c r="E94" s="20" t="s">
        <v>97</v>
      </c>
      <c r="F94" s="86"/>
      <c r="G94" s="86"/>
      <c r="H94" s="86"/>
    </row>
    <row r="95" spans="2:12">
      <c r="C95">
        <v>93</v>
      </c>
      <c r="E95" s="20" t="s">
        <v>47</v>
      </c>
    </row>
    <row r="96" spans="2:12">
      <c r="E96" s="20"/>
    </row>
    <row r="97" spans="5:5">
      <c r="E97" s="20"/>
    </row>
    <row r="98" spans="5:5">
      <c r="E98" s="20"/>
    </row>
    <row r="99" spans="5:5">
      <c r="E99" s="20"/>
    </row>
    <row r="100" spans="5:5">
      <c r="E100" s="20"/>
    </row>
    <row r="101" spans="5:5">
      <c r="E101" s="20"/>
    </row>
  </sheetData>
  <phoneticPr fontId="2"/>
  <pageMargins left="0.75" right="0.75" top="0.54" bottom="0.54" header="0.51200000000000001" footer="0.51200000000000001"/>
  <pageSetup paperSize="9" scale="84" fitToHeight="2" orientation="portrait" r:id="rId1"/>
  <headerFooter alignWithMargins="0"/>
  <rowBreaks count="1" manualBreakCount="1">
    <brk id="74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2"/>
  <sheetViews>
    <sheetView workbookViewId="0"/>
    <sheetView workbookViewId="1"/>
  </sheetViews>
  <sheetFormatPr defaultColWidth="8.90625" defaultRowHeight="13"/>
  <cols>
    <col min="1" max="1" width="8.90625" style="98"/>
    <col min="2" max="2" width="10" bestFit="1" customWidth="1"/>
    <col min="3" max="3" width="4.453125" bestFit="1" customWidth="1"/>
    <col min="4" max="4" width="15.08984375" bestFit="1" customWidth="1"/>
    <col min="5" max="5" width="5.90625" bestFit="1" customWidth="1"/>
    <col min="6" max="7" width="7.36328125" bestFit="1" customWidth="1"/>
    <col min="8" max="8" width="5" bestFit="1" customWidth="1"/>
    <col min="9" max="10" width="4.90625" hidden="1" customWidth="1"/>
    <col min="11" max="11" width="8.26953125" style="2" bestFit="1" customWidth="1"/>
  </cols>
  <sheetData>
    <row r="1" spans="1:12">
      <c r="A1" s="92" t="s">
        <v>124</v>
      </c>
      <c r="B1" t="s">
        <v>38</v>
      </c>
      <c r="F1" s="1"/>
      <c r="G1" s="1"/>
    </row>
    <row r="2" spans="1:12">
      <c r="B2" s="1" t="s">
        <v>41</v>
      </c>
      <c r="D2" t="s">
        <v>30</v>
      </c>
      <c r="E2" t="s">
        <v>42</v>
      </c>
      <c r="F2" s="1" t="s">
        <v>108</v>
      </c>
      <c r="G2" s="1" t="s">
        <v>109</v>
      </c>
      <c r="H2" t="s">
        <v>43</v>
      </c>
      <c r="I2" t="s">
        <v>44</v>
      </c>
      <c r="J2" t="s">
        <v>45</v>
      </c>
      <c r="K2" s="1" t="s">
        <v>110</v>
      </c>
      <c r="L2" s="1" t="s">
        <v>111</v>
      </c>
    </row>
    <row r="3" spans="1:12">
      <c r="B3" s="1">
        <v>1</v>
      </c>
      <c r="C3">
        <v>1</v>
      </c>
      <c r="D3" t="s">
        <v>609</v>
      </c>
      <c r="E3" s="3" t="s">
        <v>35</v>
      </c>
      <c r="F3" s="1" t="s">
        <v>616</v>
      </c>
      <c r="G3" s="1" t="s">
        <v>617</v>
      </c>
      <c r="H3" s="1">
        <v>2</v>
      </c>
      <c r="I3" s="1"/>
      <c r="J3" s="1"/>
      <c r="K3" s="2" t="s">
        <v>190</v>
      </c>
      <c r="L3" t="s">
        <v>588</v>
      </c>
    </row>
    <row r="4" spans="1:12">
      <c r="B4" s="1"/>
      <c r="C4">
        <v>2</v>
      </c>
      <c r="E4" s="3" t="s">
        <v>31</v>
      </c>
      <c r="F4" s="1" t="s">
        <v>618</v>
      </c>
      <c r="G4" s="1" t="s">
        <v>619</v>
      </c>
      <c r="H4" s="3">
        <v>2</v>
      </c>
      <c r="I4" s="1"/>
      <c r="J4" s="1"/>
    </row>
    <row r="5" spans="1:12">
      <c r="B5" s="1"/>
      <c r="C5">
        <v>3</v>
      </c>
      <c r="E5" s="3">
        <v>3</v>
      </c>
      <c r="F5" s="3" t="s">
        <v>620</v>
      </c>
      <c r="G5" s="3" t="s">
        <v>621</v>
      </c>
      <c r="H5" s="3">
        <v>3</v>
      </c>
      <c r="I5" s="1"/>
      <c r="J5" s="1"/>
    </row>
    <row r="6" spans="1:12">
      <c r="B6" s="1"/>
      <c r="C6">
        <v>4</v>
      </c>
      <c r="E6" s="3">
        <v>2</v>
      </c>
      <c r="F6" s="1" t="s">
        <v>622</v>
      </c>
      <c r="G6" s="1" t="s">
        <v>623</v>
      </c>
      <c r="H6" s="1">
        <v>2</v>
      </c>
      <c r="I6" s="1"/>
      <c r="J6" s="1"/>
    </row>
    <row r="7" spans="1:12">
      <c r="B7" s="1"/>
      <c r="C7">
        <v>5</v>
      </c>
      <c r="E7" s="3" t="s">
        <v>32</v>
      </c>
      <c r="F7" s="1" t="s">
        <v>624</v>
      </c>
      <c r="G7" s="1" t="s">
        <v>625</v>
      </c>
      <c r="H7" s="1">
        <v>2</v>
      </c>
      <c r="I7" s="1"/>
      <c r="J7" s="1"/>
    </row>
    <row r="8" spans="1:12">
      <c r="B8" s="1"/>
      <c r="C8">
        <v>6</v>
      </c>
      <c r="E8" s="3" t="s">
        <v>33</v>
      </c>
      <c r="F8" s="92" t="s">
        <v>626</v>
      </c>
      <c r="G8" s="92" t="s">
        <v>627</v>
      </c>
      <c r="H8" s="48">
        <v>2</v>
      </c>
      <c r="I8" s="1"/>
      <c r="J8" s="1"/>
    </row>
    <row r="9" spans="1:12">
      <c r="B9" s="1"/>
      <c r="C9">
        <v>7</v>
      </c>
      <c r="E9" s="3" t="s">
        <v>33</v>
      </c>
      <c r="F9" s="1"/>
      <c r="G9" s="1"/>
      <c r="H9" s="1"/>
      <c r="I9" s="1"/>
      <c r="J9" s="1"/>
    </row>
    <row r="10" spans="1:12">
      <c r="B10" s="1">
        <v>2</v>
      </c>
      <c r="C10">
        <v>8</v>
      </c>
      <c r="D10" t="s">
        <v>669</v>
      </c>
      <c r="E10" s="3" t="s">
        <v>7</v>
      </c>
      <c r="F10" s="1" t="s">
        <v>190</v>
      </c>
      <c r="G10" s="1" t="s">
        <v>672</v>
      </c>
      <c r="H10" s="1">
        <v>2</v>
      </c>
      <c r="K10" s="2" t="s">
        <v>340</v>
      </c>
      <c r="L10" t="s">
        <v>647</v>
      </c>
    </row>
    <row r="11" spans="1:12">
      <c r="B11" s="1"/>
      <c r="C11">
        <v>9</v>
      </c>
      <c r="E11" s="3" t="s">
        <v>8</v>
      </c>
      <c r="F11" s="1" t="s">
        <v>673</v>
      </c>
      <c r="G11" s="1" t="s">
        <v>674</v>
      </c>
      <c r="H11" s="1">
        <v>2</v>
      </c>
    </row>
    <row r="12" spans="1:12">
      <c r="B12" s="1"/>
      <c r="C12">
        <v>10</v>
      </c>
      <c r="E12" s="3">
        <v>3</v>
      </c>
      <c r="F12" s="1" t="s">
        <v>675</v>
      </c>
      <c r="G12" s="1" t="s">
        <v>676</v>
      </c>
      <c r="H12" s="1">
        <v>2</v>
      </c>
    </row>
    <row r="13" spans="1:12">
      <c r="B13" s="1"/>
      <c r="C13">
        <v>11</v>
      </c>
      <c r="E13" s="3">
        <v>2</v>
      </c>
      <c r="F13" s="1" t="s">
        <v>190</v>
      </c>
      <c r="G13" s="1" t="s">
        <v>677</v>
      </c>
      <c r="H13" s="1">
        <v>2</v>
      </c>
    </row>
    <row r="14" spans="1:12">
      <c r="B14" s="1"/>
      <c r="C14">
        <v>12</v>
      </c>
      <c r="E14" s="3" t="s">
        <v>6</v>
      </c>
      <c r="F14" s="1" t="s">
        <v>553</v>
      </c>
      <c r="G14" s="1" t="s">
        <v>678</v>
      </c>
      <c r="H14" s="1">
        <v>2</v>
      </c>
    </row>
    <row r="15" spans="1:12">
      <c r="B15" s="1"/>
      <c r="C15">
        <v>13</v>
      </c>
      <c r="E15" s="3" t="s">
        <v>33</v>
      </c>
      <c r="F15" s="1" t="s">
        <v>679</v>
      </c>
      <c r="G15" s="1" t="s">
        <v>680</v>
      </c>
      <c r="H15" s="1">
        <v>2</v>
      </c>
    </row>
    <row r="16" spans="1:12">
      <c r="B16" s="1"/>
      <c r="C16">
        <v>14</v>
      </c>
      <c r="E16" s="3" t="s">
        <v>33</v>
      </c>
      <c r="F16" s="1" t="s">
        <v>667</v>
      </c>
      <c r="G16" s="1" t="s">
        <v>668</v>
      </c>
      <c r="H16" s="1">
        <v>2</v>
      </c>
    </row>
    <row r="17" spans="2:14">
      <c r="B17" s="1">
        <v>3</v>
      </c>
      <c r="C17">
        <v>15</v>
      </c>
      <c r="D17" t="s">
        <v>798</v>
      </c>
      <c r="E17" s="3" t="s">
        <v>7</v>
      </c>
      <c r="F17" s="1" t="s">
        <v>799</v>
      </c>
      <c r="G17" s="1" t="s">
        <v>800</v>
      </c>
      <c r="H17" s="1">
        <v>3</v>
      </c>
      <c r="I17" s="1"/>
      <c r="J17" s="1"/>
      <c r="K17" s="2" t="s">
        <v>788</v>
      </c>
      <c r="L17" t="s">
        <v>789</v>
      </c>
    </row>
    <row r="18" spans="2:14">
      <c r="B18" s="1"/>
      <c r="C18">
        <v>16</v>
      </c>
      <c r="E18" s="3" t="s">
        <v>8</v>
      </c>
      <c r="F18" s="1" t="s">
        <v>801</v>
      </c>
      <c r="G18" s="1" t="s">
        <v>802</v>
      </c>
      <c r="H18" s="3">
        <v>3</v>
      </c>
      <c r="I18" s="1"/>
      <c r="J18" s="1"/>
    </row>
    <row r="19" spans="2:14">
      <c r="B19" s="1"/>
      <c r="C19">
        <v>17</v>
      </c>
      <c r="E19" s="3">
        <v>3</v>
      </c>
      <c r="F19" s="3" t="s">
        <v>803</v>
      </c>
      <c r="G19" s="3" t="s">
        <v>804</v>
      </c>
      <c r="H19" s="3">
        <v>2</v>
      </c>
      <c r="I19" s="1"/>
      <c r="J19" s="1"/>
    </row>
    <row r="20" spans="2:14">
      <c r="B20" s="1"/>
      <c r="C20">
        <v>18</v>
      </c>
      <c r="E20" s="3">
        <v>2</v>
      </c>
      <c r="F20" s="1" t="s">
        <v>805</v>
      </c>
      <c r="G20" s="1" t="s">
        <v>806</v>
      </c>
      <c r="H20" s="1">
        <v>3</v>
      </c>
      <c r="I20" s="1"/>
      <c r="J20" s="1"/>
    </row>
    <row r="21" spans="2:14">
      <c r="B21" s="1"/>
      <c r="C21">
        <v>19</v>
      </c>
      <c r="E21" s="3" t="s">
        <v>6</v>
      </c>
      <c r="F21" s="1" t="s">
        <v>807</v>
      </c>
      <c r="G21" s="1" t="s">
        <v>808</v>
      </c>
      <c r="H21" s="1">
        <v>2</v>
      </c>
      <c r="I21" s="1"/>
      <c r="J21" s="1"/>
    </row>
    <row r="22" spans="2:14">
      <c r="B22" s="1"/>
      <c r="C22">
        <v>20</v>
      </c>
      <c r="E22" s="3" t="s">
        <v>33</v>
      </c>
      <c r="F22" s="92"/>
      <c r="G22" s="92"/>
      <c r="H22" s="48"/>
      <c r="I22" s="1"/>
      <c r="J22" s="1"/>
    </row>
    <row r="23" spans="2:14">
      <c r="B23" s="1"/>
      <c r="C23">
        <v>21</v>
      </c>
      <c r="E23" s="3" t="s">
        <v>33</v>
      </c>
      <c r="F23" s="1"/>
      <c r="G23" s="1"/>
      <c r="H23" s="1"/>
      <c r="I23" s="1"/>
      <c r="J23" s="1"/>
    </row>
    <row r="24" spans="2:14">
      <c r="B24" s="1">
        <v>4</v>
      </c>
      <c r="C24">
        <v>22</v>
      </c>
      <c r="E24" s="3" t="s">
        <v>7</v>
      </c>
      <c r="F24" s="1"/>
      <c r="G24" s="1"/>
      <c r="H24" s="1"/>
    </row>
    <row r="25" spans="2:14">
      <c r="B25" s="1"/>
      <c r="C25">
        <v>23</v>
      </c>
      <c r="E25" s="3" t="s">
        <v>8</v>
      </c>
      <c r="F25" s="1"/>
      <c r="G25" s="1"/>
      <c r="H25" s="1"/>
    </row>
    <row r="26" spans="2:14">
      <c r="B26" s="1"/>
      <c r="C26">
        <v>24</v>
      </c>
      <c r="E26" s="3">
        <v>3</v>
      </c>
      <c r="F26" s="1"/>
      <c r="G26" s="1"/>
      <c r="H26" s="1"/>
    </row>
    <row r="27" spans="2:14">
      <c r="B27" s="1"/>
      <c r="C27">
        <v>25</v>
      </c>
      <c r="E27" s="3">
        <v>2</v>
      </c>
      <c r="F27" s="1"/>
      <c r="G27" s="1"/>
      <c r="H27" s="1"/>
    </row>
    <row r="28" spans="2:14">
      <c r="B28" s="1"/>
      <c r="C28">
        <v>26</v>
      </c>
      <c r="E28" s="3" t="s">
        <v>6</v>
      </c>
      <c r="F28" s="1"/>
      <c r="G28" s="1"/>
      <c r="H28" s="1"/>
    </row>
    <row r="29" spans="2:14">
      <c r="B29" s="3"/>
      <c r="C29">
        <v>27</v>
      </c>
      <c r="E29" s="3" t="s">
        <v>33</v>
      </c>
      <c r="F29" s="3"/>
      <c r="G29" s="3"/>
      <c r="H29" s="3"/>
      <c r="I29" s="3"/>
      <c r="J29" s="3"/>
      <c r="K29" s="90"/>
      <c r="L29" s="8"/>
      <c r="M29" s="8"/>
      <c r="N29" s="8"/>
    </row>
    <row r="30" spans="2:14">
      <c r="B30" s="3"/>
      <c r="C30">
        <v>28</v>
      </c>
      <c r="E30" s="3" t="s">
        <v>33</v>
      </c>
      <c r="F30" s="1"/>
      <c r="G30" s="1"/>
      <c r="H30" s="3"/>
      <c r="I30" s="3"/>
      <c r="J30" s="3"/>
      <c r="K30" s="90"/>
      <c r="L30" s="3"/>
      <c r="N30" s="8"/>
    </row>
    <row r="31" spans="2:14">
      <c r="B31" s="1">
        <v>5</v>
      </c>
      <c r="C31">
        <v>29</v>
      </c>
      <c r="E31" s="3" t="s">
        <v>7</v>
      </c>
      <c r="F31" s="1"/>
      <c r="G31" s="1"/>
      <c r="H31" s="1"/>
      <c r="I31" s="1"/>
      <c r="J31" s="1"/>
    </row>
    <row r="32" spans="2:14">
      <c r="C32">
        <v>30</v>
      </c>
      <c r="E32" s="3" t="s">
        <v>8</v>
      </c>
      <c r="F32" s="1"/>
      <c r="G32" s="1"/>
      <c r="H32" s="3"/>
      <c r="I32" s="1"/>
      <c r="J32" s="1"/>
    </row>
    <row r="33" spans="2:15">
      <c r="C33">
        <v>31</v>
      </c>
      <c r="E33" s="3">
        <v>3</v>
      </c>
      <c r="F33" s="3"/>
      <c r="G33" s="3"/>
      <c r="H33" s="3"/>
      <c r="I33" s="1"/>
      <c r="J33" s="1"/>
      <c r="M33" s="3"/>
      <c r="N33" s="3"/>
      <c r="O33" s="3"/>
    </row>
    <row r="34" spans="2:15">
      <c r="C34">
        <v>32</v>
      </c>
      <c r="E34" s="3">
        <v>2</v>
      </c>
      <c r="F34" s="1"/>
      <c r="G34" s="1"/>
      <c r="H34" s="1"/>
      <c r="I34" s="1"/>
      <c r="J34" s="1"/>
    </row>
    <row r="35" spans="2:15">
      <c r="C35">
        <v>33</v>
      </c>
      <c r="E35" s="3" t="s">
        <v>6</v>
      </c>
      <c r="F35" s="1"/>
      <c r="G35" s="1"/>
      <c r="H35" s="1"/>
      <c r="I35" s="1"/>
      <c r="J35" s="1"/>
      <c r="M35" s="3"/>
      <c r="N35" s="3"/>
      <c r="O35" s="3"/>
    </row>
    <row r="36" spans="2:15">
      <c r="C36">
        <v>34</v>
      </c>
      <c r="E36" s="3" t="s">
        <v>33</v>
      </c>
      <c r="F36" s="92"/>
      <c r="G36" s="92"/>
      <c r="H36" s="48"/>
      <c r="I36" s="1"/>
      <c r="J36" s="1"/>
      <c r="M36" s="3"/>
      <c r="N36" s="3"/>
      <c r="O36" s="3"/>
    </row>
    <row r="37" spans="2:15">
      <c r="C37">
        <v>35</v>
      </c>
      <c r="E37" s="3" t="s">
        <v>33</v>
      </c>
      <c r="F37" s="1"/>
      <c r="G37" s="1"/>
      <c r="H37" s="1"/>
      <c r="I37" s="1"/>
      <c r="J37" s="1"/>
    </row>
    <row r="38" spans="2:15">
      <c r="B38" s="1">
        <v>6</v>
      </c>
      <c r="C38">
        <v>36</v>
      </c>
      <c r="E38" s="3" t="s">
        <v>7</v>
      </c>
      <c r="F38" s="1"/>
      <c r="G38" s="1"/>
      <c r="H38" s="1"/>
    </row>
    <row r="39" spans="2:15">
      <c r="B39" s="1"/>
      <c r="C39">
        <v>37</v>
      </c>
      <c r="E39" s="3" t="s">
        <v>8</v>
      </c>
      <c r="F39" s="1"/>
      <c r="G39" s="1"/>
      <c r="H39" s="1"/>
    </row>
    <row r="40" spans="2:15">
      <c r="B40" s="1"/>
      <c r="C40">
        <v>38</v>
      </c>
      <c r="E40" s="3">
        <v>3</v>
      </c>
      <c r="F40" s="1"/>
      <c r="G40" s="1"/>
      <c r="H40" s="1"/>
    </row>
    <row r="41" spans="2:15">
      <c r="B41" s="1"/>
      <c r="C41">
        <v>39</v>
      </c>
      <c r="E41" s="3">
        <v>2</v>
      </c>
      <c r="F41" s="1"/>
      <c r="G41" s="1"/>
      <c r="H41" s="1"/>
    </row>
    <row r="42" spans="2:15">
      <c r="B42" s="1"/>
      <c r="C42">
        <v>40</v>
      </c>
      <c r="E42" s="3" t="s">
        <v>6</v>
      </c>
      <c r="F42" s="1"/>
      <c r="G42" s="1"/>
      <c r="H42" s="1"/>
    </row>
    <row r="43" spans="2:15">
      <c r="B43" s="1"/>
      <c r="C43">
        <v>41</v>
      </c>
      <c r="E43" s="3" t="s">
        <v>33</v>
      </c>
      <c r="F43" s="9"/>
      <c r="G43" s="9"/>
      <c r="H43" s="1"/>
      <c r="I43" s="1"/>
      <c r="J43" s="1"/>
    </row>
    <row r="44" spans="2:15">
      <c r="B44" s="1"/>
      <c r="C44">
        <v>42</v>
      </c>
      <c r="E44" s="3" t="s">
        <v>33</v>
      </c>
      <c r="F44" s="3"/>
      <c r="G44" s="3"/>
      <c r="H44" s="3"/>
      <c r="I44" s="3"/>
      <c r="J44" s="3"/>
    </row>
    <row r="45" spans="2:15">
      <c r="B45" s="1">
        <v>7</v>
      </c>
      <c r="C45">
        <v>43</v>
      </c>
      <c r="E45" s="3" t="s">
        <v>35</v>
      </c>
      <c r="F45" s="1"/>
      <c r="G45" s="1"/>
      <c r="H45" s="1"/>
      <c r="I45" s="1"/>
      <c r="J45" s="1"/>
    </row>
    <row r="46" spans="2:15">
      <c r="B46" s="1"/>
      <c r="C46">
        <v>44</v>
      </c>
      <c r="E46" s="3" t="s">
        <v>31</v>
      </c>
      <c r="F46" s="3"/>
      <c r="G46" s="3"/>
      <c r="H46" s="3"/>
      <c r="I46" s="3"/>
      <c r="J46" s="3"/>
    </row>
    <row r="47" spans="2:15">
      <c r="B47" s="1"/>
      <c r="C47">
        <v>45</v>
      </c>
      <c r="E47" s="3">
        <v>3</v>
      </c>
      <c r="F47" s="9"/>
      <c r="G47" s="9"/>
      <c r="H47" s="1"/>
      <c r="I47" s="1"/>
      <c r="J47" s="1"/>
    </row>
    <row r="48" spans="2:15">
      <c r="B48" s="1"/>
      <c r="C48">
        <v>46</v>
      </c>
      <c r="E48" s="3">
        <v>2</v>
      </c>
      <c r="F48" s="9"/>
      <c r="G48" s="9"/>
      <c r="H48" s="3"/>
      <c r="I48" s="3"/>
      <c r="J48" s="3"/>
    </row>
    <row r="49" spans="2:11">
      <c r="B49" s="1"/>
      <c r="C49">
        <v>47</v>
      </c>
      <c r="E49" s="3" t="s">
        <v>32</v>
      </c>
      <c r="F49" s="9"/>
      <c r="G49" s="9"/>
      <c r="H49" s="3"/>
      <c r="I49" s="3"/>
      <c r="J49" s="3"/>
    </row>
    <row r="50" spans="2:11">
      <c r="B50" s="1"/>
      <c r="C50">
        <v>48</v>
      </c>
      <c r="E50" s="3" t="s">
        <v>33</v>
      </c>
      <c r="F50" s="1"/>
      <c r="G50" s="1"/>
      <c r="H50" s="1"/>
      <c r="I50" s="1"/>
      <c r="J50" s="1"/>
      <c r="K50" s="90"/>
    </row>
    <row r="51" spans="2:11">
      <c r="B51" s="1"/>
      <c r="C51">
        <v>49</v>
      </c>
      <c r="E51" s="3" t="s">
        <v>33</v>
      </c>
      <c r="H51" s="3"/>
      <c r="I51" s="3"/>
      <c r="J51" s="3"/>
    </row>
    <row r="52" spans="2:11">
      <c r="B52" s="1">
        <v>8</v>
      </c>
      <c r="C52">
        <v>50</v>
      </c>
      <c r="E52" s="3" t="s">
        <v>35</v>
      </c>
      <c r="F52" s="9"/>
      <c r="G52" s="9"/>
      <c r="H52" s="9"/>
      <c r="I52" s="9"/>
      <c r="J52" s="9"/>
    </row>
    <row r="53" spans="2:11">
      <c r="C53">
        <v>51</v>
      </c>
      <c r="E53" s="3" t="s">
        <v>31</v>
      </c>
      <c r="F53" s="9"/>
      <c r="G53" s="9"/>
      <c r="H53" s="9"/>
      <c r="I53" s="9"/>
      <c r="J53" s="9"/>
    </row>
    <row r="54" spans="2:11">
      <c r="C54">
        <v>52</v>
      </c>
      <c r="E54" s="3">
        <v>3</v>
      </c>
      <c r="F54" s="9"/>
      <c r="G54" s="9"/>
      <c r="H54" s="9"/>
      <c r="I54" s="9"/>
      <c r="J54" s="9"/>
    </row>
    <row r="55" spans="2:11">
      <c r="C55">
        <v>53</v>
      </c>
      <c r="E55" s="3">
        <v>2</v>
      </c>
      <c r="F55" s="9"/>
      <c r="G55" s="9"/>
      <c r="H55" s="9"/>
      <c r="I55" s="9"/>
      <c r="J55" s="9"/>
    </row>
    <row r="56" spans="2:11">
      <c r="C56">
        <v>54</v>
      </c>
      <c r="E56" s="3" t="s">
        <v>32</v>
      </c>
      <c r="F56" s="9"/>
      <c r="G56" s="9"/>
      <c r="H56" s="9"/>
      <c r="I56" s="9"/>
      <c r="J56" s="9"/>
    </row>
    <row r="57" spans="2:11">
      <c r="C57">
        <v>55</v>
      </c>
      <c r="E57" s="3" t="s">
        <v>33</v>
      </c>
      <c r="F57" s="9"/>
      <c r="G57" s="9"/>
      <c r="H57" s="9"/>
      <c r="I57" s="9"/>
      <c r="J57" s="9"/>
    </row>
    <row r="58" spans="2:11">
      <c r="C58">
        <v>56</v>
      </c>
      <c r="E58" s="3" t="s">
        <v>33</v>
      </c>
      <c r="F58" s="9"/>
      <c r="G58" s="9"/>
      <c r="H58" s="9"/>
      <c r="I58" s="9"/>
      <c r="J58" s="9"/>
    </row>
    <row r="59" spans="2:11">
      <c r="B59" s="1">
        <v>9</v>
      </c>
      <c r="C59">
        <v>57</v>
      </c>
      <c r="E59" s="3" t="s">
        <v>40</v>
      </c>
      <c r="F59" s="1"/>
      <c r="G59" s="1"/>
      <c r="H59" s="1"/>
      <c r="I59" s="1"/>
      <c r="J59" s="1"/>
    </row>
    <row r="60" spans="2:11">
      <c r="C60">
        <v>58</v>
      </c>
      <c r="E60" s="3" t="s">
        <v>31</v>
      </c>
      <c r="F60" s="1"/>
      <c r="G60" s="1"/>
      <c r="H60" s="1"/>
      <c r="I60" s="1"/>
      <c r="J60" s="1"/>
    </row>
    <row r="61" spans="2:11">
      <c r="C61">
        <v>59</v>
      </c>
      <c r="E61" s="3">
        <v>3</v>
      </c>
      <c r="F61" s="1"/>
      <c r="G61" s="1"/>
      <c r="H61" s="1"/>
      <c r="I61" s="1"/>
      <c r="J61" s="1"/>
    </row>
    <row r="62" spans="2:11">
      <c r="C62">
        <v>60</v>
      </c>
      <c r="E62" s="3">
        <v>2</v>
      </c>
      <c r="H62" s="1"/>
      <c r="I62" s="1"/>
      <c r="J62" s="1"/>
    </row>
    <row r="63" spans="2:11">
      <c r="C63">
        <v>61</v>
      </c>
      <c r="E63" s="3" t="s">
        <v>32</v>
      </c>
      <c r="F63" s="3"/>
      <c r="H63" s="1"/>
      <c r="I63" s="1"/>
      <c r="J63" s="1"/>
    </row>
    <row r="64" spans="2:11">
      <c r="C64">
        <v>62</v>
      </c>
      <c r="E64" s="3" t="s">
        <v>33</v>
      </c>
      <c r="H64" s="1"/>
      <c r="I64" s="1"/>
      <c r="J64" s="1"/>
    </row>
    <row r="65" spans="2:5">
      <c r="C65">
        <v>63</v>
      </c>
      <c r="E65" s="3" t="s">
        <v>33</v>
      </c>
    </row>
    <row r="66" spans="2:5">
      <c r="B66" s="1">
        <v>10</v>
      </c>
      <c r="C66">
        <v>57</v>
      </c>
      <c r="E66" s="3" t="s">
        <v>40</v>
      </c>
    </row>
    <row r="67" spans="2:5">
      <c r="C67">
        <v>58</v>
      </c>
      <c r="E67" s="3" t="s">
        <v>31</v>
      </c>
    </row>
    <row r="68" spans="2:5">
      <c r="C68">
        <v>59</v>
      </c>
      <c r="E68" s="3">
        <v>3</v>
      </c>
    </row>
    <row r="69" spans="2:5">
      <c r="C69">
        <v>60</v>
      </c>
      <c r="E69" s="3">
        <v>2</v>
      </c>
    </row>
    <row r="70" spans="2:5">
      <c r="C70">
        <v>61</v>
      </c>
      <c r="E70" s="3" t="s">
        <v>32</v>
      </c>
    </row>
    <row r="71" spans="2:5">
      <c r="C71">
        <v>62</v>
      </c>
      <c r="E71" s="3" t="s">
        <v>33</v>
      </c>
    </row>
    <row r="72" spans="2:5">
      <c r="C72">
        <v>63</v>
      </c>
      <c r="E72" s="3" t="s">
        <v>33</v>
      </c>
    </row>
  </sheetData>
  <phoneticPr fontId="2"/>
  <pageMargins left="0.75" right="0.75" top="1" bottom="1" header="0.51200000000000001" footer="0.51200000000000001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35"/>
  <sheetViews>
    <sheetView workbookViewId="0"/>
    <sheetView workbookViewId="1"/>
  </sheetViews>
  <sheetFormatPr defaultColWidth="8.90625" defaultRowHeight="13"/>
  <cols>
    <col min="1" max="1" width="8.90625" style="98"/>
    <col min="2" max="2" width="10.08984375" style="1" bestFit="1" customWidth="1"/>
    <col min="3" max="3" width="5.453125" bestFit="1" customWidth="1"/>
    <col min="4" max="4" width="15.08984375" bestFit="1" customWidth="1"/>
    <col min="5" max="5" width="6" bestFit="1" customWidth="1"/>
    <col min="6" max="7" width="7.36328125" bestFit="1" customWidth="1"/>
    <col min="8" max="8" width="5.08984375" bestFit="1" customWidth="1"/>
    <col min="9" max="9" width="5.453125" hidden="1" customWidth="1"/>
    <col min="10" max="10" width="5" hidden="1" customWidth="1"/>
    <col min="11" max="11" width="9.90625" style="1" bestFit="1" customWidth="1"/>
    <col min="12" max="12" width="8.90625" style="1"/>
  </cols>
  <sheetData>
    <row r="1" spans="1:12">
      <c r="A1" s="92" t="s">
        <v>125</v>
      </c>
      <c r="B1" s="1" t="s">
        <v>48</v>
      </c>
      <c r="F1" s="1"/>
      <c r="G1" s="1"/>
    </row>
    <row r="2" spans="1:12">
      <c r="B2" s="1" t="s">
        <v>41</v>
      </c>
      <c r="D2" t="s">
        <v>30</v>
      </c>
      <c r="E2" t="s">
        <v>42</v>
      </c>
      <c r="F2" s="1" t="s">
        <v>108</v>
      </c>
      <c r="G2" s="1" t="s">
        <v>109</v>
      </c>
      <c r="H2" t="s">
        <v>43</v>
      </c>
      <c r="I2" t="s">
        <v>44</v>
      </c>
      <c r="J2" t="s">
        <v>45</v>
      </c>
      <c r="K2" s="1" t="s">
        <v>110</v>
      </c>
      <c r="L2" s="1" t="s">
        <v>111</v>
      </c>
    </row>
    <row r="3" spans="1:12">
      <c r="B3" s="1">
        <v>1</v>
      </c>
      <c r="C3">
        <v>1</v>
      </c>
      <c r="D3" s="1" t="s">
        <v>390</v>
      </c>
      <c r="E3" s="3" t="s">
        <v>7</v>
      </c>
      <c r="F3" s="1" t="s">
        <v>395</v>
      </c>
      <c r="G3" s="1" t="s">
        <v>396</v>
      </c>
      <c r="H3" s="3">
        <v>2</v>
      </c>
      <c r="I3" s="3"/>
      <c r="J3" s="3"/>
      <c r="K3" s="1" t="s">
        <v>346</v>
      </c>
      <c r="L3" s="1" t="s">
        <v>347</v>
      </c>
    </row>
    <row r="4" spans="1:12">
      <c r="C4">
        <v>2</v>
      </c>
      <c r="D4" s="3"/>
      <c r="E4" s="3" t="s">
        <v>8</v>
      </c>
      <c r="F4" s="3" t="s">
        <v>341</v>
      </c>
      <c r="G4" s="3" t="s">
        <v>348</v>
      </c>
      <c r="H4" s="3">
        <v>3</v>
      </c>
      <c r="I4" s="3"/>
      <c r="J4" s="3"/>
    </row>
    <row r="5" spans="1:12">
      <c r="C5">
        <v>3</v>
      </c>
      <c r="D5" s="3"/>
      <c r="E5" s="3">
        <v>3</v>
      </c>
      <c r="F5" s="1" t="s">
        <v>343</v>
      </c>
      <c r="G5" s="1" t="s">
        <v>344</v>
      </c>
      <c r="H5" s="1">
        <v>3</v>
      </c>
      <c r="I5" s="1"/>
      <c r="J5" s="1"/>
    </row>
    <row r="6" spans="1:12">
      <c r="C6">
        <v>4</v>
      </c>
      <c r="D6" s="8"/>
      <c r="E6" s="3">
        <v>2</v>
      </c>
      <c r="F6" s="1" t="s">
        <v>397</v>
      </c>
      <c r="G6" s="1" t="s">
        <v>398</v>
      </c>
      <c r="H6" s="3">
        <v>2</v>
      </c>
      <c r="I6" s="3"/>
      <c r="J6" s="3"/>
    </row>
    <row r="7" spans="1:12">
      <c r="C7">
        <v>5</v>
      </c>
      <c r="E7" s="3" t="s">
        <v>6</v>
      </c>
      <c r="F7" s="1" t="s">
        <v>399</v>
      </c>
      <c r="G7" s="1" t="s">
        <v>400</v>
      </c>
      <c r="H7" s="3">
        <v>2</v>
      </c>
      <c r="I7" s="3"/>
      <c r="J7" s="3"/>
    </row>
    <row r="8" spans="1:12">
      <c r="C8">
        <v>6</v>
      </c>
      <c r="E8" s="3" t="s">
        <v>33</v>
      </c>
      <c r="F8" s="3" t="s">
        <v>391</v>
      </c>
      <c r="G8" s="1" t="s">
        <v>392</v>
      </c>
      <c r="H8" s="1">
        <v>2</v>
      </c>
      <c r="I8" s="1"/>
      <c r="J8" s="1"/>
    </row>
    <row r="9" spans="1:12">
      <c r="C9">
        <v>7</v>
      </c>
      <c r="D9" s="158"/>
      <c r="E9" s="3" t="s">
        <v>33</v>
      </c>
      <c r="F9" s="9"/>
      <c r="G9" s="1"/>
      <c r="H9" s="3"/>
      <c r="I9" s="3"/>
      <c r="J9" s="3"/>
    </row>
    <row r="10" spans="1:12">
      <c r="B10" s="1">
        <v>2</v>
      </c>
      <c r="C10">
        <v>8</v>
      </c>
      <c r="D10" s="1" t="s">
        <v>498</v>
      </c>
      <c r="E10" s="3" t="s">
        <v>7</v>
      </c>
      <c r="F10" s="1" t="s">
        <v>500</v>
      </c>
      <c r="G10" s="1" t="s">
        <v>501</v>
      </c>
      <c r="H10" s="3">
        <v>3</v>
      </c>
      <c r="I10" s="3"/>
      <c r="J10" s="3"/>
      <c r="K10" s="1" t="s">
        <v>520</v>
      </c>
      <c r="L10" s="1" t="s">
        <v>521</v>
      </c>
    </row>
    <row r="11" spans="1:12">
      <c r="C11">
        <v>9</v>
      </c>
      <c r="D11" s="3"/>
      <c r="E11" s="3" t="s">
        <v>8</v>
      </c>
      <c r="F11" s="3" t="s">
        <v>502</v>
      </c>
      <c r="G11" s="3" t="s">
        <v>503</v>
      </c>
      <c r="H11" s="3">
        <v>2</v>
      </c>
      <c r="I11" s="3"/>
      <c r="J11" s="3"/>
    </row>
    <row r="12" spans="1:12">
      <c r="C12">
        <v>10</v>
      </c>
      <c r="D12" s="3"/>
      <c r="E12" s="3">
        <v>3</v>
      </c>
      <c r="F12" s="1" t="s">
        <v>504</v>
      </c>
      <c r="G12" s="1" t="s">
        <v>505</v>
      </c>
      <c r="H12" s="1">
        <v>2</v>
      </c>
      <c r="I12" s="1"/>
      <c r="J12" s="1"/>
    </row>
    <row r="13" spans="1:12">
      <c r="C13">
        <v>11</v>
      </c>
      <c r="D13" s="8"/>
      <c r="E13" s="3">
        <v>2</v>
      </c>
      <c r="F13" s="1" t="s">
        <v>506</v>
      </c>
      <c r="G13" s="1" t="s">
        <v>507</v>
      </c>
      <c r="H13" s="3">
        <v>2</v>
      </c>
      <c r="I13" s="3"/>
      <c r="J13" s="3"/>
    </row>
    <row r="14" spans="1:12">
      <c r="C14">
        <v>12</v>
      </c>
      <c r="E14" s="3" t="s">
        <v>6</v>
      </c>
      <c r="F14" s="1" t="s">
        <v>508</v>
      </c>
      <c r="G14" s="1" t="s">
        <v>509</v>
      </c>
      <c r="H14" s="3">
        <v>2</v>
      </c>
      <c r="I14" s="3"/>
      <c r="J14" s="3"/>
    </row>
    <row r="15" spans="1:12">
      <c r="C15">
        <v>13</v>
      </c>
      <c r="E15" s="3" t="s">
        <v>33</v>
      </c>
      <c r="F15" s="3" t="s">
        <v>466</v>
      </c>
      <c r="G15" s="1" t="s">
        <v>467</v>
      </c>
      <c r="H15" s="1">
        <v>2</v>
      </c>
      <c r="I15" s="1"/>
      <c r="J15" s="1"/>
    </row>
    <row r="16" spans="1:12">
      <c r="C16">
        <v>14</v>
      </c>
      <c r="D16" s="158"/>
      <c r="E16" s="3" t="s">
        <v>33</v>
      </c>
      <c r="F16" s="9"/>
      <c r="G16" s="1"/>
      <c r="H16" s="3"/>
      <c r="I16" s="3"/>
      <c r="J16" s="3"/>
    </row>
    <row r="17" spans="2:17">
      <c r="B17" s="1">
        <v>3</v>
      </c>
      <c r="C17">
        <v>15</v>
      </c>
      <c r="D17" s="1" t="s">
        <v>499</v>
      </c>
      <c r="E17" s="3" t="s">
        <v>7</v>
      </c>
      <c r="F17" s="1" t="s">
        <v>510</v>
      </c>
      <c r="G17" s="1" t="s">
        <v>511</v>
      </c>
      <c r="H17" s="3">
        <v>2</v>
      </c>
      <c r="I17" s="3"/>
      <c r="J17" s="3"/>
      <c r="K17" s="1" t="s">
        <v>520</v>
      </c>
      <c r="L17" s="1" t="s">
        <v>521</v>
      </c>
    </row>
    <row r="18" spans="2:17">
      <c r="C18">
        <v>16</v>
      </c>
      <c r="D18" s="3"/>
      <c r="E18" s="3" t="s">
        <v>8</v>
      </c>
      <c r="F18" s="3" t="s">
        <v>512</v>
      </c>
      <c r="G18" s="3" t="s">
        <v>513</v>
      </c>
      <c r="H18" s="3">
        <v>2</v>
      </c>
      <c r="I18" s="3"/>
      <c r="J18" s="3"/>
    </row>
    <row r="19" spans="2:17">
      <c r="C19">
        <v>17</v>
      </c>
      <c r="D19" s="3"/>
      <c r="E19" s="3">
        <v>3</v>
      </c>
      <c r="F19" s="1" t="s">
        <v>514</v>
      </c>
      <c r="G19" s="1" t="s">
        <v>515</v>
      </c>
      <c r="H19" s="1">
        <v>2</v>
      </c>
      <c r="I19" s="1"/>
      <c r="J19" s="1"/>
    </row>
    <row r="20" spans="2:17">
      <c r="C20">
        <v>18</v>
      </c>
      <c r="D20" s="8"/>
      <c r="E20" s="3">
        <v>2</v>
      </c>
      <c r="F20" s="1" t="s">
        <v>516</v>
      </c>
      <c r="G20" s="1" t="s">
        <v>517</v>
      </c>
      <c r="H20" s="3">
        <v>2</v>
      </c>
      <c r="I20" s="3"/>
      <c r="J20" s="3"/>
    </row>
    <row r="21" spans="2:17">
      <c r="C21">
        <v>19</v>
      </c>
      <c r="E21" s="3" t="s">
        <v>6</v>
      </c>
      <c r="F21" s="1" t="s">
        <v>518</v>
      </c>
      <c r="G21" s="1" t="s">
        <v>519</v>
      </c>
      <c r="H21" s="3">
        <v>2</v>
      </c>
      <c r="I21" s="3"/>
      <c r="J21" s="3"/>
    </row>
    <row r="22" spans="2:17">
      <c r="C22">
        <v>20</v>
      </c>
      <c r="E22" s="3" t="s">
        <v>33</v>
      </c>
      <c r="F22" s="3" t="s">
        <v>468</v>
      </c>
      <c r="G22" s="1" t="s">
        <v>469</v>
      </c>
      <c r="H22" s="1">
        <v>2</v>
      </c>
      <c r="I22" s="1"/>
      <c r="J22" s="1"/>
    </row>
    <row r="23" spans="2:17">
      <c r="C23">
        <v>21</v>
      </c>
      <c r="D23" s="158"/>
      <c r="E23" s="3" t="s">
        <v>33</v>
      </c>
      <c r="F23" s="9"/>
      <c r="G23" s="1"/>
      <c r="H23" s="3"/>
      <c r="I23" s="3"/>
      <c r="J23" s="3"/>
    </row>
    <row r="24" spans="2:17">
      <c r="B24" s="1">
        <v>4</v>
      </c>
      <c r="C24">
        <v>22</v>
      </c>
      <c r="D24" s="1" t="s">
        <v>587</v>
      </c>
      <c r="E24" s="3" t="s">
        <v>7</v>
      </c>
      <c r="F24" s="9" t="s">
        <v>577</v>
      </c>
      <c r="G24" s="1" t="s">
        <v>578</v>
      </c>
      <c r="H24" s="3">
        <v>3</v>
      </c>
      <c r="I24" s="3"/>
      <c r="J24" s="3"/>
      <c r="K24" s="3" t="s">
        <v>190</v>
      </c>
      <c r="L24" s="3" t="s">
        <v>588</v>
      </c>
    </row>
    <row r="25" spans="2:17">
      <c r="C25">
        <v>23</v>
      </c>
      <c r="D25" s="3"/>
      <c r="E25" s="3" t="s">
        <v>8</v>
      </c>
      <c r="F25" s="1" t="s">
        <v>579</v>
      </c>
      <c r="G25" s="1" t="s">
        <v>580</v>
      </c>
      <c r="H25" s="3">
        <v>3</v>
      </c>
      <c r="I25" s="3"/>
      <c r="J25" s="3"/>
      <c r="K25" s="3"/>
    </row>
    <row r="26" spans="2:17">
      <c r="C26">
        <v>24</v>
      </c>
      <c r="D26" s="3"/>
      <c r="E26" s="3">
        <v>3</v>
      </c>
      <c r="F26" s="9" t="s">
        <v>581</v>
      </c>
      <c r="G26" s="9" t="s">
        <v>582</v>
      </c>
      <c r="H26" s="9">
        <v>3</v>
      </c>
      <c r="I26" s="3"/>
      <c r="J26" s="3"/>
      <c r="K26" s="3"/>
    </row>
    <row r="27" spans="2:17">
      <c r="C27">
        <v>25</v>
      </c>
      <c r="D27" s="8"/>
      <c r="E27" s="3">
        <v>2</v>
      </c>
      <c r="F27" s="9" t="s">
        <v>583</v>
      </c>
      <c r="G27" s="9" t="s">
        <v>584</v>
      </c>
      <c r="H27" s="9">
        <v>3</v>
      </c>
      <c r="I27" s="3"/>
      <c r="J27" s="3"/>
      <c r="K27" s="3"/>
      <c r="M27" s="6"/>
      <c r="N27" s="6"/>
    </row>
    <row r="28" spans="2:17">
      <c r="B28" s="3"/>
      <c r="C28">
        <v>26</v>
      </c>
      <c r="E28" s="3" t="s">
        <v>6</v>
      </c>
      <c r="F28" s="3" t="s">
        <v>585</v>
      </c>
      <c r="G28" s="3" t="s">
        <v>586</v>
      </c>
      <c r="H28" s="9">
        <v>3</v>
      </c>
      <c r="I28" s="3"/>
      <c r="J28" s="3"/>
      <c r="N28" s="3"/>
    </row>
    <row r="29" spans="2:17">
      <c r="B29" s="3"/>
      <c r="C29">
        <v>27</v>
      </c>
      <c r="E29" s="3" t="s">
        <v>33</v>
      </c>
      <c r="F29" s="1"/>
      <c r="G29" s="1"/>
      <c r="H29" s="1"/>
      <c r="I29" s="1"/>
      <c r="J29" s="1"/>
      <c r="K29" s="3"/>
      <c r="M29" s="3"/>
      <c r="N29" s="3"/>
      <c r="O29" s="3"/>
      <c r="P29" s="3"/>
      <c r="Q29" s="3"/>
    </row>
    <row r="30" spans="2:17">
      <c r="C30">
        <v>28</v>
      </c>
      <c r="D30" s="158"/>
      <c r="E30" s="3" t="s">
        <v>33</v>
      </c>
      <c r="F30" s="3"/>
      <c r="G30" s="3"/>
      <c r="H30" s="3"/>
      <c r="I30" s="3"/>
      <c r="J30" s="3"/>
      <c r="Q30" s="3"/>
    </row>
    <row r="31" spans="2:17">
      <c r="B31" s="1">
        <v>5</v>
      </c>
      <c r="C31">
        <v>29</v>
      </c>
      <c r="D31" s="1" t="s">
        <v>681</v>
      </c>
      <c r="E31" s="3" t="s">
        <v>7</v>
      </c>
      <c r="F31" s="9" t="s">
        <v>682</v>
      </c>
      <c r="G31" s="9" t="s">
        <v>683</v>
      </c>
      <c r="H31" s="1">
        <v>2</v>
      </c>
      <c r="I31" s="1"/>
      <c r="J31" s="1"/>
      <c r="K31" s="1" t="s">
        <v>695</v>
      </c>
      <c r="L31" s="1" t="s">
        <v>696</v>
      </c>
    </row>
    <row r="32" spans="2:17">
      <c r="C32">
        <v>30</v>
      </c>
      <c r="E32" s="3" t="s">
        <v>8</v>
      </c>
      <c r="F32" s="1" t="s">
        <v>684</v>
      </c>
      <c r="G32" s="1" t="s">
        <v>685</v>
      </c>
      <c r="H32" s="1">
        <v>2</v>
      </c>
      <c r="I32" s="1"/>
      <c r="J32" s="1"/>
      <c r="M32" s="3"/>
      <c r="N32" s="3"/>
    </row>
    <row r="33" spans="2:17">
      <c r="C33">
        <v>31</v>
      </c>
      <c r="E33" s="3">
        <v>3</v>
      </c>
      <c r="F33" s="1" t="s">
        <v>686</v>
      </c>
      <c r="G33" s="1" t="s">
        <v>687</v>
      </c>
      <c r="H33" s="1">
        <v>3</v>
      </c>
      <c r="I33" s="1"/>
      <c r="J33" s="1"/>
      <c r="M33" s="3"/>
      <c r="N33" s="3"/>
    </row>
    <row r="34" spans="2:17">
      <c r="C34">
        <v>32</v>
      </c>
      <c r="E34" s="3">
        <v>2</v>
      </c>
      <c r="F34" s="1" t="s">
        <v>688</v>
      </c>
      <c r="G34" s="1" t="s">
        <v>689</v>
      </c>
      <c r="H34" s="1">
        <v>3</v>
      </c>
      <c r="I34" s="1"/>
      <c r="J34" s="1"/>
    </row>
    <row r="35" spans="2:17">
      <c r="C35">
        <v>33</v>
      </c>
      <c r="E35" s="3" t="s">
        <v>6</v>
      </c>
      <c r="F35" s="3" t="s">
        <v>690</v>
      </c>
      <c r="G35" s="3" t="s">
        <v>691</v>
      </c>
      <c r="H35" s="1">
        <v>3</v>
      </c>
      <c r="I35" s="1"/>
      <c r="J35" s="1"/>
    </row>
    <row r="36" spans="2:17">
      <c r="C36">
        <v>34</v>
      </c>
      <c r="E36" s="3" t="s">
        <v>33</v>
      </c>
      <c r="F36" s="3" t="s">
        <v>692</v>
      </c>
      <c r="G36" s="3" t="s">
        <v>693</v>
      </c>
      <c r="H36" s="3">
        <v>2</v>
      </c>
      <c r="I36" s="1"/>
      <c r="J36" s="1"/>
      <c r="M36" s="3"/>
      <c r="N36" s="3"/>
      <c r="O36" s="3"/>
      <c r="P36" s="3"/>
      <c r="Q36" s="3"/>
    </row>
    <row r="37" spans="2:17">
      <c r="C37">
        <v>35</v>
      </c>
      <c r="D37" s="3"/>
      <c r="E37" s="3" t="s">
        <v>33</v>
      </c>
      <c r="F37" s="9" t="s">
        <v>682</v>
      </c>
      <c r="G37" s="9" t="s">
        <v>694</v>
      </c>
      <c r="H37" s="9">
        <v>2</v>
      </c>
      <c r="I37" s="3"/>
      <c r="J37" s="3"/>
      <c r="M37" s="3"/>
      <c r="N37" s="3"/>
      <c r="O37" s="3"/>
      <c r="P37" s="3"/>
      <c r="Q37" s="3"/>
    </row>
    <row r="38" spans="2:17">
      <c r="B38" s="3">
        <v>6</v>
      </c>
      <c r="C38">
        <v>36</v>
      </c>
      <c r="D38" s="3"/>
      <c r="E38" s="3" t="s">
        <v>7</v>
      </c>
      <c r="F38" s="3"/>
      <c r="G38" s="3"/>
      <c r="H38" s="3"/>
      <c r="I38" s="3"/>
      <c r="J38" s="3"/>
      <c r="M38" s="3"/>
      <c r="N38" s="3"/>
      <c r="O38" s="3"/>
      <c r="P38" s="3"/>
      <c r="Q38" s="3"/>
    </row>
    <row r="39" spans="2:17">
      <c r="C39">
        <v>37</v>
      </c>
      <c r="E39" s="3" t="s">
        <v>8</v>
      </c>
      <c r="F39" s="3"/>
      <c r="G39" s="3"/>
      <c r="H39" s="3"/>
      <c r="I39" s="3"/>
      <c r="J39" s="3"/>
      <c r="M39" s="3"/>
      <c r="N39" s="3"/>
      <c r="O39" s="3"/>
      <c r="P39" s="3"/>
      <c r="Q39" s="3"/>
    </row>
    <row r="40" spans="2:17">
      <c r="C40">
        <v>38</v>
      </c>
      <c r="E40" s="3">
        <v>3</v>
      </c>
      <c r="F40" s="3"/>
      <c r="G40" s="3"/>
      <c r="H40" s="3"/>
      <c r="I40" s="3"/>
      <c r="J40" s="3"/>
    </row>
    <row r="41" spans="2:17">
      <c r="C41">
        <v>39</v>
      </c>
      <c r="E41" s="3">
        <v>2</v>
      </c>
      <c r="F41" s="9"/>
      <c r="G41" s="9"/>
      <c r="H41" s="3"/>
      <c r="I41" s="3"/>
      <c r="J41" s="3"/>
    </row>
    <row r="42" spans="2:17">
      <c r="C42">
        <v>40</v>
      </c>
      <c r="E42" s="3" t="s">
        <v>6</v>
      </c>
      <c r="F42" s="3"/>
      <c r="G42" s="3"/>
      <c r="H42" s="3"/>
      <c r="I42" s="3"/>
      <c r="J42" s="3"/>
      <c r="L42" s="3"/>
    </row>
    <row r="43" spans="2:17">
      <c r="C43">
        <v>41</v>
      </c>
      <c r="E43" s="3" t="s">
        <v>33</v>
      </c>
      <c r="F43" s="3"/>
      <c r="G43" s="3"/>
      <c r="H43" s="3"/>
      <c r="I43" s="3"/>
      <c r="J43" s="3"/>
      <c r="L43" s="3"/>
    </row>
    <row r="44" spans="2:17">
      <c r="C44">
        <v>42</v>
      </c>
      <c r="D44" s="3"/>
      <c r="E44" s="3" t="s">
        <v>33</v>
      </c>
      <c r="F44" s="9"/>
      <c r="G44" s="1"/>
      <c r="H44" s="3"/>
      <c r="I44" s="3"/>
      <c r="J44" s="3"/>
    </row>
    <row r="45" spans="2:17">
      <c r="B45" s="1">
        <v>7</v>
      </c>
      <c r="C45">
        <v>43</v>
      </c>
      <c r="D45" s="3"/>
      <c r="E45" s="3" t="s">
        <v>7</v>
      </c>
      <c r="F45" s="9"/>
      <c r="G45" s="1"/>
      <c r="H45" s="3"/>
      <c r="I45" s="3"/>
      <c r="J45" s="3"/>
      <c r="K45" s="3"/>
      <c r="L45" s="3"/>
    </row>
    <row r="46" spans="2:17">
      <c r="C46">
        <v>44</v>
      </c>
      <c r="D46" s="3"/>
      <c r="E46" s="3" t="s">
        <v>8</v>
      </c>
      <c r="F46" s="3"/>
      <c r="G46" s="3"/>
      <c r="H46" s="3"/>
      <c r="I46" s="3"/>
      <c r="J46" s="3"/>
      <c r="K46" s="3"/>
    </row>
    <row r="47" spans="2:17">
      <c r="C47">
        <v>45</v>
      </c>
      <c r="D47" s="3"/>
      <c r="E47" s="3">
        <v>3</v>
      </c>
      <c r="F47" s="9"/>
      <c r="G47" s="9"/>
      <c r="H47" s="9"/>
      <c r="I47" s="3"/>
      <c r="J47" s="3"/>
      <c r="K47" s="3"/>
    </row>
    <row r="48" spans="2:17">
      <c r="C48">
        <v>46</v>
      </c>
      <c r="D48" s="8"/>
      <c r="E48" s="3">
        <v>2</v>
      </c>
      <c r="F48" s="9"/>
      <c r="G48" s="9"/>
      <c r="H48" s="9"/>
      <c r="I48" s="3"/>
      <c r="J48" s="3"/>
      <c r="K48" s="3"/>
    </row>
    <row r="49" spans="2:14">
      <c r="C49">
        <v>47</v>
      </c>
      <c r="E49" s="3" t="s">
        <v>6</v>
      </c>
      <c r="F49" s="9"/>
      <c r="G49" s="9"/>
      <c r="H49" s="9"/>
      <c r="I49" s="3"/>
      <c r="J49" s="3"/>
    </row>
    <row r="50" spans="2:14">
      <c r="C50">
        <v>48</v>
      </c>
      <c r="E50" s="3" t="s">
        <v>33</v>
      </c>
      <c r="F50" s="3"/>
      <c r="G50" s="3"/>
      <c r="H50" s="3"/>
      <c r="I50" s="3"/>
      <c r="J50" s="3"/>
    </row>
    <row r="51" spans="2:14">
      <c r="C51">
        <v>49</v>
      </c>
      <c r="E51" s="3" t="s">
        <v>33</v>
      </c>
      <c r="F51" s="1"/>
      <c r="G51" s="1"/>
      <c r="H51" s="1"/>
      <c r="I51" s="1"/>
      <c r="J51" s="1"/>
    </row>
    <row r="52" spans="2:14">
      <c r="B52" s="1">
        <v>8</v>
      </c>
      <c r="C52">
        <v>50</v>
      </c>
      <c r="D52" s="1"/>
      <c r="E52" s="3" t="s">
        <v>7</v>
      </c>
      <c r="F52" s="9"/>
      <c r="G52" s="9"/>
      <c r="H52" s="1"/>
      <c r="I52" s="1"/>
      <c r="J52" s="1"/>
    </row>
    <row r="53" spans="2:14">
      <c r="C53">
        <v>51</v>
      </c>
      <c r="E53" s="3" t="s">
        <v>8</v>
      </c>
      <c r="F53" s="1"/>
      <c r="G53" s="1"/>
      <c r="H53" s="1"/>
      <c r="I53" s="1"/>
      <c r="J53" s="1"/>
    </row>
    <row r="54" spans="2:14">
      <c r="C54">
        <v>52</v>
      </c>
      <c r="E54" s="3">
        <v>3</v>
      </c>
      <c r="F54" s="1"/>
      <c r="G54" s="1"/>
      <c r="H54" s="1"/>
      <c r="I54" s="1"/>
      <c r="J54" s="1"/>
    </row>
    <row r="55" spans="2:14">
      <c r="C55">
        <v>53</v>
      </c>
      <c r="E55" s="3">
        <v>2</v>
      </c>
      <c r="F55" s="1"/>
      <c r="G55" s="1"/>
      <c r="H55" s="1"/>
      <c r="I55" s="1"/>
      <c r="J55" s="1"/>
    </row>
    <row r="56" spans="2:14">
      <c r="C56">
        <v>54</v>
      </c>
      <c r="E56" s="3" t="s">
        <v>6</v>
      </c>
      <c r="F56" s="3"/>
      <c r="G56" s="3"/>
      <c r="H56" s="1"/>
      <c r="I56" s="1"/>
      <c r="J56" s="1"/>
    </row>
    <row r="57" spans="2:14">
      <c r="C57">
        <v>55</v>
      </c>
      <c r="E57" s="3" t="s">
        <v>33</v>
      </c>
      <c r="F57" s="3"/>
      <c r="G57" s="3"/>
      <c r="H57" s="3"/>
      <c r="I57" s="1"/>
      <c r="J57" s="1"/>
    </row>
    <row r="58" spans="2:14">
      <c r="C58">
        <v>56</v>
      </c>
      <c r="D58" s="3"/>
      <c r="E58" s="3" t="s">
        <v>33</v>
      </c>
      <c r="F58" s="9"/>
      <c r="G58" s="9"/>
      <c r="H58" s="9"/>
      <c r="I58" s="3"/>
      <c r="J58" s="3"/>
    </row>
    <row r="59" spans="2:14">
      <c r="B59" s="1">
        <v>9</v>
      </c>
      <c r="C59">
        <v>57</v>
      </c>
      <c r="D59" s="3"/>
      <c r="E59" s="3" t="s">
        <v>7</v>
      </c>
      <c r="F59" s="3"/>
      <c r="G59" s="3"/>
      <c r="H59" s="3"/>
      <c r="I59" s="3"/>
      <c r="J59" s="3"/>
    </row>
    <row r="60" spans="2:14">
      <c r="C60">
        <v>58</v>
      </c>
      <c r="E60" s="3" t="s">
        <v>8</v>
      </c>
      <c r="F60" s="3"/>
      <c r="G60" s="3"/>
      <c r="H60" s="3"/>
      <c r="I60" s="3"/>
      <c r="J60" s="3"/>
      <c r="M60" s="6"/>
      <c r="N60" s="6"/>
    </row>
    <row r="61" spans="2:14">
      <c r="C61">
        <v>59</v>
      </c>
      <c r="E61" s="3">
        <v>3</v>
      </c>
      <c r="F61" s="3"/>
      <c r="G61" s="3"/>
      <c r="H61" s="3"/>
      <c r="I61" s="3"/>
      <c r="J61" s="3"/>
    </row>
    <row r="62" spans="2:14">
      <c r="C62">
        <v>60</v>
      </c>
      <c r="E62" s="3">
        <v>2</v>
      </c>
      <c r="F62" s="9"/>
      <c r="G62" s="9"/>
      <c r="H62" s="3"/>
      <c r="I62" s="3"/>
      <c r="J62" s="3"/>
    </row>
    <row r="63" spans="2:14">
      <c r="C63">
        <v>61</v>
      </c>
      <c r="E63" s="3" t="s">
        <v>6</v>
      </c>
      <c r="F63" s="3"/>
      <c r="G63" s="3"/>
      <c r="H63" s="3"/>
      <c r="I63" s="3"/>
      <c r="J63" s="3"/>
      <c r="L63" s="3"/>
    </row>
    <row r="64" spans="2:14">
      <c r="C64">
        <v>62</v>
      </c>
      <c r="E64" s="3" t="s">
        <v>33</v>
      </c>
      <c r="F64" s="1"/>
      <c r="G64" s="1"/>
      <c r="H64" s="1"/>
      <c r="I64" s="1"/>
      <c r="J64" s="1"/>
    </row>
    <row r="65" spans="2:14">
      <c r="C65">
        <v>63</v>
      </c>
      <c r="E65" s="3" t="s">
        <v>33</v>
      </c>
      <c r="F65" s="3"/>
      <c r="G65" s="3"/>
      <c r="H65" s="3"/>
      <c r="I65" s="3"/>
      <c r="J65" s="3"/>
    </row>
    <row r="66" spans="2:14">
      <c r="B66" s="1">
        <v>10</v>
      </c>
      <c r="C66">
        <v>64</v>
      </c>
      <c r="D66" s="3"/>
      <c r="E66" s="3" t="s">
        <v>35</v>
      </c>
      <c r="F66" s="9"/>
      <c r="G66" s="9"/>
      <c r="H66" s="9"/>
    </row>
    <row r="67" spans="2:14">
      <c r="B67" s="3"/>
      <c r="C67">
        <v>65</v>
      </c>
      <c r="E67" s="3" t="s">
        <v>31</v>
      </c>
      <c r="F67" s="9"/>
      <c r="G67" s="9"/>
      <c r="H67" s="9"/>
      <c r="L67" s="3"/>
      <c r="M67" s="8"/>
      <c r="N67" s="8"/>
    </row>
    <row r="68" spans="2:14">
      <c r="B68" s="3"/>
      <c r="C68">
        <v>66</v>
      </c>
      <c r="E68" s="3">
        <v>3</v>
      </c>
      <c r="F68" s="9"/>
      <c r="G68" s="9"/>
      <c r="H68" s="9"/>
      <c r="L68" s="3"/>
      <c r="N68" s="3"/>
    </row>
    <row r="69" spans="2:14">
      <c r="B69" s="3"/>
      <c r="C69">
        <v>67</v>
      </c>
      <c r="E69" s="3">
        <v>2</v>
      </c>
      <c r="F69" s="9"/>
      <c r="G69" s="9"/>
      <c r="H69" s="9"/>
      <c r="L69" s="3"/>
      <c r="M69" s="3"/>
      <c r="N69" s="3"/>
    </row>
    <row r="70" spans="2:14">
      <c r="C70">
        <v>68</v>
      </c>
      <c r="D70" s="6"/>
      <c r="E70" s="3" t="s">
        <v>32</v>
      </c>
      <c r="F70" s="9"/>
      <c r="G70" s="9"/>
      <c r="H70" s="9"/>
    </row>
    <row r="71" spans="2:14">
      <c r="C71">
        <v>69</v>
      </c>
      <c r="D71" s="3"/>
      <c r="E71" s="3" t="s">
        <v>33</v>
      </c>
      <c r="F71" s="9"/>
      <c r="G71" s="9"/>
      <c r="H71" s="9"/>
    </row>
    <row r="72" spans="2:14">
      <c r="C72">
        <v>70</v>
      </c>
      <c r="D72" s="3"/>
      <c r="E72" s="3" t="s">
        <v>33</v>
      </c>
      <c r="F72" s="9"/>
      <c r="G72" s="9"/>
      <c r="H72" s="9"/>
    </row>
    <row r="73" spans="2:14">
      <c r="B73" s="1">
        <v>11</v>
      </c>
      <c r="C73">
        <v>71</v>
      </c>
      <c r="D73" s="3"/>
      <c r="E73" s="3" t="s">
        <v>7</v>
      </c>
      <c r="F73" s="9"/>
      <c r="G73" s="9"/>
      <c r="H73" s="9"/>
      <c r="K73" s="3"/>
    </row>
    <row r="74" spans="2:14">
      <c r="C74">
        <v>72</v>
      </c>
      <c r="E74" s="3" t="s">
        <v>8</v>
      </c>
      <c r="F74" s="9"/>
      <c r="G74" s="9"/>
      <c r="H74" s="9"/>
    </row>
    <row r="75" spans="2:14">
      <c r="C75">
        <v>73</v>
      </c>
      <c r="E75" s="3">
        <v>3</v>
      </c>
      <c r="F75" s="9"/>
      <c r="G75" s="9"/>
      <c r="H75" s="9"/>
    </row>
    <row r="76" spans="2:14">
      <c r="C76">
        <v>74</v>
      </c>
      <c r="E76" s="3">
        <v>2</v>
      </c>
      <c r="F76" s="9"/>
      <c r="G76" s="9"/>
      <c r="H76" s="9"/>
    </row>
    <row r="77" spans="2:14">
      <c r="C77">
        <v>75</v>
      </c>
      <c r="D77" s="6"/>
      <c r="E77" s="3" t="s">
        <v>6</v>
      </c>
      <c r="F77" s="9"/>
      <c r="G77" s="9"/>
      <c r="H77" s="9"/>
      <c r="M77" s="6"/>
      <c r="N77" s="6"/>
    </row>
    <row r="78" spans="2:14">
      <c r="B78" s="3"/>
      <c r="C78">
        <v>76</v>
      </c>
      <c r="D78" s="3"/>
      <c r="E78" s="3" t="s">
        <v>33</v>
      </c>
      <c r="F78" s="9"/>
      <c r="G78" s="9"/>
      <c r="H78" s="9"/>
      <c r="L78" s="3"/>
      <c r="M78" s="3"/>
      <c r="N78" s="3"/>
    </row>
    <row r="79" spans="2:14">
      <c r="B79" s="3"/>
      <c r="C79">
        <v>77</v>
      </c>
      <c r="D79" s="3"/>
      <c r="E79" s="3" t="s">
        <v>33</v>
      </c>
      <c r="F79" s="1"/>
      <c r="G79" s="1"/>
      <c r="H79" s="1"/>
      <c r="L79" s="3"/>
      <c r="M79" s="3"/>
      <c r="N79" s="3"/>
    </row>
    <row r="80" spans="2:14">
      <c r="B80" s="1">
        <v>12</v>
      </c>
      <c r="C80">
        <v>78</v>
      </c>
      <c r="D80" s="3"/>
      <c r="E80" s="3" t="s">
        <v>7</v>
      </c>
      <c r="F80" s="9"/>
      <c r="G80" s="9"/>
      <c r="H80" s="9"/>
    </row>
    <row r="81" spans="2:12">
      <c r="C81">
        <v>79</v>
      </c>
      <c r="D81" s="1"/>
      <c r="E81" s="3" t="s">
        <v>8</v>
      </c>
      <c r="F81" s="9"/>
      <c r="G81" s="9"/>
      <c r="H81" s="9"/>
    </row>
    <row r="82" spans="2:12">
      <c r="C82">
        <v>80</v>
      </c>
      <c r="D82" s="1"/>
      <c r="E82" s="3">
        <v>3</v>
      </c>
      <c r="F82" s="9"/>
      <c r="G82" s="9"/>
      <c r="H82" s="9"/>
    </row>
    <row r="83" spans="2:12">
      <c r="C83">
        <v>81</v>
      </c>
      <c r="D83" s="1"/>
      <c r="E83" s="3">
        <v>2</v>
      </c>
      <c r="F83" s="9"/>
      <c r="G83" s="9"/>
      <c r="H83" s="9"/>
    </row>
    <row r="84" spans="2:12">
      <c r="C84">
        <v>82</v>
      </c>
      <c r="D84" s="1"/>
      <c r="E84" s="3" t="s">
        <v>6</v>
      </c>
      <c r="F84" s="9"/>
      <c r="G84" s="9"/>
      <c r="H84" s="9"/>
    </row>
    <row r="85" spans="2:12">
      <c r="C85">
        <v>83</v>
      </c>
      <c r="D85" s="1"/>
      <c r="E85" s="3" t="s">
        <v>33</v>
      </c>
      <c r="F85" s="9"/>
      <c r="G85" s="9"/>
      <c r="H85" s="9"/>
      <c r="I85" s="3"/>
      <c r="J85" s="3"/>
    </row>
    <row r="86" spans="2:12">
      <c r="C86">
        <v>84</v>
      </c>
      <c r="D86" s="1"/>
      <c r="E86" s="3" t="s">
        <v>33</v>
      </c>
      <c r="F86" s="1"/>
      <c r="G86" s="1"/>
      <c r="H86" s="1"/>
      <c r="I86" s="3"/>
      <c r="J86" s="3"/>
    </row>
    <row r="87" spans="2:12">
      <c r="B87" s="1">
        <v>13</v>
      </c>
      <c r="C87">
        <v>85</v>
      </c>
      <c r="D87" s="3"/>
      <c r="E87" s="3" t="s">
        <v>7</v>
      </c>
      <c r="F87" s="1"/>
      <c r="G87" s="1"/>
      <c r="H87" s="3"/>
      <c r="I87" s="3"/>
      <c r="J87" s="3"/>
    </row>
    <row r="88" spans="2:12">
      <c r="C88">
        <v>86</v>
      </c>
      <c r="D88" s="3"/>
      <c r="E88" s="3" t="s">
        <v>8</v>
      </c>
      <c r="F88" s="3"/>
      <c r="G88" s="3"/>
      <c r="H88" s="3"/>
      <c r="I88" s="3"/>
      <c r="J88" s="3"/>
    </row>
    <row r="89" spans="2:12">
      <c r="C89">
        <v>87</v>
      </c>
      <c r="D89" s="3"/>
      <c r="E89" s="3">
        <v>3</v>
      </c>
      <c r="F89" s="3"/>
      <c r="G89" s="1"/>
      <c r="H89" s="1"/>
      <c r="I89" s="1"/>
      <c r="J89" s="1"/>
    </row>
    <row r="90" spans="2:12">
      <c r="C90">
        <v>88</v>
      </c>
      <c r="D90" s="3"/>
      <c r="E90" s="3">
        <v>2</v>
      </c>
      <c r="F90" s="3"/>
      <c r="G90" s="3"/>
      <c r="H90" s="3"/>
      <c r="I90" s="3"/>
      <c r="J90" s="3"/>
    </row>
    <row r="91" spans="2:12">
      <c r="C91">
        <v>89</v>
      </c>
      <c r="D91" s="3"/>
      <c r="E91" s="3" t="s">
        <v>6</v>
      </c>
      <c r="F91" s="3"/>
      <c r="G91" s="3"/>
      <c r="H91" s="3"/>
      <c r="I91" s="3"/>
      <c r="J91" s="3"/>
    </row>
    <row r="92" spans="2:12">
      <c r="C92">
        <v>90</v>
      </c>
      <c r="D92" s="3"/>
      <c r="E92" s="3" t="s">
        <v>33</v>
      </c>
      <c r="F92" s="1"/>
      <c r="G92" s="1"/>
      <c r="H92" s="1"/>
      <c r="I92" s="1"/>
      <c r="J92" s="1"/>
    </row>
    <row r="93" spans="2:12">
      <c r="C93">
        <v>91</v>
      </c>
      <c r="D93" s="3"/>
      <c r="E93" s="3" t="s">
        <v>33</v>
      </c>
      <c r="F93" s="3"/>
      <c r="G93" s="3"/>
      <c r="H93" s="3"/>
      <c r="I93" s="3"/>
      <c r="J93" s="3"/>
    </row>
    <row r="94" spans="2:12">
      <c r="B94" s="1">
        <v>14</v>
      </c>
      <c r="C94">
        <v>92</v>
      </c>
      <c r="D94" s="3"/>
      <c r="E94" s="3" t="s">
        <v>7</v>
      </c>
      <c r="F94" s="1"/>
      <c r="G94" s="1"/>
      <c r="H94" s="3"/>
      <c r="I94" s="3"/>
      <c r="J94" s="3"/>
      <c r="K94" s="3"/>
    </row>
    <row r="95" spans="2:12">
      <c r="C95">
        <v>93</v>
      </c>
      <c r="D95" s="3"/>
      <c r="E95" s="3" t="s">
        <v>8</v>
      </c>
      <c r="F95" s="3"/>
      <c r="G95" s="3"/>
      <c r="H95" s="3"/>
      <c r="I95" s="3"/>
      <c r="J95" s="3"/>
      <c r="L95" s="83"/>
    </row>
    <row r="96" spans="2:12">
      <c r="C96">
        <v>94</v>
      </c>
      <c r="D96" s="3"/>
      <c r="E96" s="3">
        <v>3</v>
      </c>
      <c r="F96" s="3"/>
      <c r="G96" s="3"/>
      <c r="H96" s="3"/>
      <c r="I96" s="3"/>
      <c r="J96" s="3"/>
    </row>
    <row r="97" spans="2:12">
      <c r="C97">
        <v>95</v>
      </c>
      <c r="D97" s="3"/>
      <c r="E97" s="3">
        <v>2</v>
      </c>
      <c r="F97" s="3"/>
      <c r="G97" s="3"/>
      <c r="H97" s="3"/>
      <c r="I97" s="3"/>
      <c r="J97" s="3"/>
    </row>
    <row r="98" spans="2:12">
      <c r="C98">
        <v>96</v>
      </c>
      <c r="D98" s="1"/>
      <c r="E98" s="3" t="s">
        <v>6</v>
      </c>
      <c r="F98" s="3"/>
      <c r="G98" s="3"/>
      <c r="H98" s="3"/>
      <c r="I98" s="3"/>
      <c r="J98" s="3"/>
    </row>
    <row r="99" spans="2:12">
      <c r="C99">
        <v>97</v>
      </c>
      <c r="D99" s="1"/>
      <c r="E99" s="3" t="s">
        <v>33</v>
      </c>
      <c r="F99" s="3"/>
      <c r="G99" s="3"/>
      <c r="H99" s="3"/>
      <c r="I99" s="3"/>
      <c r="J99" s="3"/>
      <c r="K99" s="3"/>
    </row>
    <row r="100" spans="2:12">
      <c r="C100">
        <v>98</v>
      </c>
      <c r="D100" s="1"/>
      <c r="E100" s="3" t="s">
        <v>33</v>
      </c>
      <c r="F100" s="3"/>
      <c r="G100" s="3"/>
      <c r="H100" s="3"/>
      <c r="I100" s="3"/>
      <c r="J100" s="3"/>
      <c r="K100" s="3"/>
    </row>
    <row r="101" spans="2:12">
      <c r="B101" s="1">
        <v>15</v>
      </c>
      <c r="C101">
        <v>99</v>
      </c>
      <c r="D101" s="3"/>
      <c r="E101" s="20" t="s">
        <v>89</v>
      </c>
      <c r="F101" s="3"/>
      <c r="G101" s="3"/>
      <c r="H101" s="3"/>
      <c r="I101" s="3"/>
      <c r="J101" s="3"/>
      <c r="K101" s="3"/>
      <c r="L101" s="83"/>
    </row>
    <row r="102" spans="2:12">
      <c r="C102">
        <v>100</v>
      </c>
      <c r="D102" s="19"/>
      <c r="E102" s="20" t="s">
        <v>90</v>
      </c>
      <c r="F102" s="3"/>
      <c r="G102" s="3"/>
      <c r="H102" s="3"/>
      <c r="I102" s="3"/>
      <c r="J102" s="3"/>
    </row>
    <row r="103" spans="2:12">
      <c r="C103">
        <v>101</v>
      </c>
      <c r="D103" s="20"/>
      <c r="E103" s="20">
        <v>3</v>
      </c>
      <c r="F103" s="9"/>
      <c r="G103" s="9"/>
      <c r="H103" s="3"/>
      <c r="I103" s="3"/>
      <c r="J103" s="3"/>
    </row>
    <row r="104" spans="2:12">
      <c r="C104">
        <v>102</v>
      </c>
      <c r="D104" s="20"/>
      <c r="E104" s="20">
        <v>2</v>
      </c>
      <c r="F104" s="9"/>
      <c r="G104" s="9"/>
      <c r="H104" s="3"/>
      <c r="I104" s="3"/>
      <c r="J104" s="3"/>
    </row>
    <row r="105" spans="2:12">
      <c r="C105">
        <v>103</v>
      </c>
      <c r="D105" s="20"/>
      <c r="E105" s="20" t="s">
        <v>91</v>
      </c>
      <c r="F105" s="3"/>
      <c r="G105" s="1"/>
      <c r="H105" s="3"/>
      <c r="I105" s="3"/>
      <c r="J105" s="3"/>
    </row>
    <row r="106" spans="2:12">
      <c r="C106">
        <v>104</v>
      </c>
      <c r="D106" s="20"/>
      <c r="E106" s="20" t="s">
        <v>47</v>
      </c>
      <c r="F106" s="95"/>
      <c r="G106" s="95"/>
      <c r="H106" s="84"/>
      <c r="I106" s="48"/>
      <c r="J106" s="48"/>
      <c r="K106" s="48"/>
    </row>
    <row r="107" spans="2:12">
      <c r="C107">
        <v>105</v>
      </c>
      <c r="D107" s="20"/>
      <c r="E107" s="20" t="s">
        <v>47</v>
      </c>
      <c r="F107" s="12"/>
      <c r="G107" s="12"/>
      <c r="H107" s="20"/>
      <c r="I107" s="20"/>
      <c r="J107" s="20"/>
      <c r="K107" s="48"/>
    </row>
    <row r="108" spans="2:12">
      <c r="B108" s="1">
        <v>16</v>
      </c>
      <c r="C108">
        <v>106</v>
      </c>
      <c r="D108" s="1"/>
      <c r="E108" s="20" t="s">
        <v>89</v>
      </c>
      <c r="F108" s="95"/>
      <c r="G108" s="95"/>
      <c r="H108" s="84"/>
      <c r="I108" s="48"/>
      <c r="J108" s="48"/>
      <c r="K108" s="95"/>
    </row>
    <row r="109" spans="2:12">
      <c r="C109">
        <v>107</v>
      </c>
      <c r="D109" s="19"/>
      <c r="E109" s="20" t="s">
        <v>92</v>
      </c>
      <c r="F109" s="95"/>
      <c r="G109" s="95"/>
      <c r="H109" s="84"/>
      <c r="I109" s="48"/>
      <c r="J109" s="48"/>
      <c r="K109" s="48"/>
    </row>
    <row r="110" spans="2:12">
      <c r="C110">
        <v>108</v>
      </c>
      <c r="D110" s="19"/>
      <c r="E110" s="20">
        <v>3</v>
      </c>
      <c r="F110" s="95"/>
      <c r="G110" s="95"/>
      <c r="H110" s="84"/>
      <c r="I110" s="48"/>
      <c r="J110" s="48"/>
      <c r="K110" s="48"/>
    </row>
    <row r="111" spans="2:12">
      <c r="C111">
        <v>109</v>
      </c>
      <c r="D111" s="19"/>
      <c r="E111" s="20">
        <v>2</v>
      </c>
      <c r="F111" s="95"/>
      <c r="G111" s="95"/>
      <c r="H111" s="84"/>
      <c r="I111" s="48"/>
      <c r="J111" s="48"/>
      <c r="K111" s="48"/>
    </row>
    <row r="112" spans="2:12">
      <c r="C112">
        <v>110</v>
      </c>
      <c r="D112" s="19"/>
      <c r="E112" s="20" t="s">
        <v>93</v>
      </c>
      <c r="F112" s="95"/>
      <c r="G112" s="95"/>
      <c r="H112" s="84"/>
      <c r="I112" s="48"/>
      <c r="J112" s="48"/>
      <c r="K112" s="48"/>
    </row>
    <row r="113" spans="2:11">
      <c r="C113">
        <v>111</v>
      </c>
      <c r="D113" s="19"/>
      <c r="E113" s="20" t="s">
        <v>47</v>
      </c>
      <c r="F113" s="95"/>
      <c r="G113" s="95"/>
      <c r="H113" s="84"/>
      <c r="I113" s="48"/>
      <c r="J113" s="48"/>
      <c r="K113" s="48"/>
    </row>
    <row r="114" spans="2:11">
      <c r="C114">
        <v>112</v>
      </c>
      <c r="D114" s="20"/>
      <c r="E114" s="20" t="s">
        <v>47</v>
      </c>
      <c r="F114" s="95"/>
      <c r="G114" s="95"/>
      <c r="H114" s="84"/>
      <c r="I114" s="20"/>
      <c r="J114" s="20"/>
      <c r="K114" s="48"/>
    </row>
    <row r="115" spans="2:11">
      <c r="B115" s="1">
        <v>17</v>
      </c>
      <c r="C115">
        <v>113</v>
      </c>
      <c r="D115" s="1"/>
      <c r="E115" s="3" t="s">
        <v>35</v>
      </c>
      <c r="F115" s="101"/>
      <c r="G115" s="101"/>
      <c r="H115" s="3"/>
      <c r="I115" s="3"/>
      <c r="J115" s="3"/>
    </row>
    <row r="116" spans="2:11">
      <c r="C116">
        <v>114</v>
      </c>
      <c r="E116" s="3" t="s">
        <v>31</v>
      </c>
      <c r="F116" s="3"/>
      <c r="G116" s="3"/>
      <c r="H116" s="3"/>
      <c r="I116" s="3"/>
      <c r="J116" s="3"/>
    </row>
    <row r="117" spans="2:11">
      <c r="C117">
        <v>115</v>
      </c>
      <c r="E117" s="3">
        <v>3</v>
      </c>
      <c r="F117" s="3"/>
      <c r="G117" s="3"/>
      <c r="H117" s="3"/>
      <c r="I117" s="3"/>
      <c r="J117" s="3"/>
    </row>
    <row r="118" spans="2:11">
      <c r="C118">
        <v>116</v>
      </c>
      <c r="E118" s="3">
        <v>2</v>
      </c>
      <c r="F118" s="101"/>
      <c r="G118" s="101"/>
      <c r="H118" s="1"/>
      <c r="I118" s="1"/>
      <c r="J118" s="1"/>
    </row>
    <row r="119" spans="2:11">
      <c r="C119">
        <v>117</v>
      </c>
      <c r="E119" s="3" t="s">
        <v>32</v>
      </c>
      <c r="F119" s="101"/>
      <c r="G119" s="101"/>
      <c r="H119" s="3"/>
      <c r="I119" s="3"/>
      <c r="J119" s="3"/>
    </row>
    <row r="120" spans="2:11">
      <c r="C120">
        <v>118</v>
      </c>
      <c r="E120" s="3" t="s">
        <v>33</v>
      </c>
      <c r="F120" s="1"/>
      <c r="G120" s="1"/>
      <c r="H120" s="1"/>
      <c r="I120" s="1"/>
      <c r="J120" s="1"/>
    </row>
    <row r="121" spans="2:11">
      <c r="C121">
        <v>119</v>
      </c>
      <c r="E121" s="3" t="s">
        <v>33</v>
      </c>
      <c r="F121" s="1"/>
      <c r="G121" s="1"/>
      <c r="H121" s="1"/>
    </row>
    <row r="122" spans="2:11">
      <c r="B122" s="1">
        <v>18</v>
      </c>
      <c r="C122">
        <v>120</v>
      </c>
      <c r="D122" s="1"/>
      <c r="E122" s="3" t="s">
        <v>35</v>
      </c>
      <c r="F122" s="1"/>
      <c r="G122" s="1"/>
      <c r="H122" s="3"/>
      <c r="I122" s="3"/>
      <c r="J122" s="3"/>
    </row>
    <row r="123" spans="2:11">
      <c r="C123">
        <v>121</v>
      </c>
      <c r="D123" s="3"/>
      <c r="E123" s="3" t="s">
        <v>31</v>
      </c>
      <c r="F123" s="3"/>
      <c r="G123" s="3"/>
      <c r="H123" s="3"/>
      <c r="I123" s="3"/>
      <c r="J123" s="3"/>
    </row>
    <row r="124" spans="2:11">
      <c r="C124">
        <v>122</v>
      </c>
      <c r="D124" s="3"/>
      <c r="E124" s="3">
        <v>3</v>
      </c>
      <c r="F124" s="9"/>
      <c r="G124" s="9"/>
      <c r="H124" s="3"/>
      <c r="I124" s="3"/>
      <c r="J124" s="3"/>
    </row>
    <row r="125" spans="2:11">
      <c r="C125">
        <v>123</v>
      </c>
      <c r="D125" s="3"/>
      <c r="E125" s="3">
        <v>2</v>
      </c>
      <c r="F125" s="3"/>
      <c r="G125" s="3"/>
      <c r="H125" s="3"/>
      <c r="I125" s="3"/>
      <c r="J125" s="3"/>
    </row>
    <row r="126" spans="2:11">
      <c r="C126">
        <v>124</v>
      </c>
      <c r="D126" s="3"/>
      <c r="E126" s="3" t="s">
        <v>32</v>
      </c>
      <c r="F126" s="9"/>
      <c r="G126" s="9"/>
      <c r="H126" s="3"/>
      <c r="I126" s="3"/>
      <c r="J126" s="3"/>
    </row>
    <row r="127" spans="2:11">
      <c r="C127">
        <v>125</v>
      </c>
      <c r="D127" s="3"/>
      <c r="E127" s="3" t="s">
        <v>33</v>
      </c>
      <c r="F127" s="3"/>
      <c r="G127" s="3"/>
      <c r="H127" s="3"/>
      <c r="I127" s="3"/>
      <c r="J127" s="3"/>
    </row>
    <row r="128" spans="2:11">
      <c r="C128">
        <v>126</v>
      </c>
      <c r="D128" s="3"/>
      <c r="E128" s="3" t="s">
        <v>33</v>
      </c>
      <c r="F128" s="3"/>
      <c r="G128" s="3"/>
      <c r="H128" s="3"/>
      <c r="I128" s="3"/>
      <c r="J128" s="3"/>
    </row>
    <row r="129" spans="5:10">
      <c r="E129" s="3" t="s">
        <v>35</v>
      </c>
      <c r="F129" s="3"/>
      <c r="G129" s="3"/>
      <c r="H129" s="3"/>
      <c r="I129" s="3"/>
      <c r="J129" s="3"/>
    </row>
    <row r="130" spans="5:10">
      <c r="E130" s="3" t="s">
        <v>31</v>
      </c>
      <c r="F130" s="3"/>
      <c r="G130" s="3"/>
      <c r="H130" s="3"/>
      <c r="I130" s="3"/>
      <c r="J130" s="3"/>
    </row>
    <row r="131" spans="5:10">
      <c r="E131" s="3">
        <v>3</v>
      </c>
      <c r="F131" s="3"/>
      <c r="G131" s="3"/>
      <c r="H131" s="3"/>
      <c r="I131" s="3"/>
      <c r="J131" s="3"/>
    </row>
    <row r="132" spans="5:10">
      <c r="E132" s="3">
        <v>2</v>
      </c>
      <c r="F132" s="3"/>
      <c r="G132" s="3"/>
      <c r="H132" s="3"/>
      <c r="I132" s="3"/>
      <c r="J132" s="3"/>
    </row>
    <row r="133" spans="5:10">
      <c r="E133" s="3" t="s">
        <v>32</v>
      </c>
      <c r="F133" s="3"/>
      <c r="G133" s="3"/>
      <c r="H133" s="3"/>
      <c r="I133" s="3"/>
      <c r="J133" s="3"/>
    </row>
    <row r="134" spans="5:10">
      <c r="E134" s="3" t="s">
        <v>33</v>
      </c>
      <c r="F134" s="3"/>
      <c r="G134" s="3"/>
      <c r="H134" s="3"/>
      <c r="I134" s="3"/>
      <c r="J134" s="3"/>
    </row>
    <row r="135" spans="5:10">
      <c r="E135" s="3" t="s">
        <v>33</v>
      </c>
      <c r="F135" s="1"/>
      <c r="G135" s="1"/>
      <c r="H135" s="1"/>
      <c r="I135" s="1"/>
      <c r="J135" s="1"/>
    </row>
  </sheetData>
  <phoneticPr fontId="2"/>
  <pageMargins left="0.75" right="0.75" top="0.61" bottom="0.59" header="0.51200000000000001" footer="0.51200000000000001"/>
  <pageSetup paperSize="9" scale="94" fitToHeight="2" orientation="portrait" horizontalDpi="4294967292" r:id="rId1"/>
  <headerFooter alignWithMargins="0"/>
  <rowBreaks count="1" manualBreakCount="1">
    <brk id="65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6"/>
  <sheetViews>
    <sheetView workbookViewId="0"/>
    <sheetView workbookViewId="1"/>
  </sheetViews>
  <sheetFormatPr defaultColWidth="8.90625" defaultRowHeight="13"/>
  <cols>
    <col min="5" max="5" width="3.08984375" customWidth="1"/>
    <col min="6" max="6" width="10.08984375" customWidth="1"/>
    <col min="16" max="16" width="9.6328125" customWidth="1"/>
  </cols>
  <sheetData>
    <row r="1" spans="1:15" ht="21">
      <c r="A1" s="5"/>
    </row>
    <row r="2" spans="1:15">
      <c r="H2" t="s">
        <v>251</v>
      </c>
    </row>
    <row r="4" spans="1:15">
      <c r="H4" s="414" t="s">
        <v>252</v>
      </c>
      <c r="I4" s="414"/>
    </row>
    <row r="6" spans="1:15">
      <c r="C6" t="s">
        <v>253</v>
      </c>
    </row>
    <row r="7" spans="1:15">
      <c r="I7" s="215"/>
    </row>
    <row r="8" spans="1:15">
      <c r="D8" s="215"/>
      <c r="I8" s="215"/>
      <c r="M8" s="216"/>
      <c r="N8" s="216"/>
    </row>
    <row r="9" spans="1:15">
      <c r="D9" s="215"/>
      <c r="I9" s="215"/>
      <c r="L9" s="76" t="s">
        <v>254</v>
      </c>
      <c r="M9" s="215"/>
    </row>
    <row r="10" spans="1:15">
      <c r="B10" s="76"/>
      <c r="D10" s="215"/>
      <c r="G10" s="76" t="s">
        <v>255</v>
      </c>
      <c r="I10" s="215"/>
      <c r="M10" s="215"/>
    </row>
    <row r="11" spans="1:15">
      <c r="B11" s="217"/>
      <c r="C11" s="217"/>
      <c r="D11" s="218"/>
      <c r="E11" s="217"/>
      <c r="F11" s="217"/>
      <c r="G11" s="217"/>
      <c r="H11" s="217"/>
      <c r="I11" s="218"/>
      <c r="J11" s="217"/>
      <c r="K11" s="217"/>
      <c r="L11" s="217"/>
      <c r="M11" s="218"/>
      <c r="N11" s="217"/>
    </row>
    <row r="12" spans="1:15">
      <c r="B12" s="219"/>
      <c r="C12" s="220"/>
      <c r="D12" s="221"/>
      <c r="E12" s="222"/>
      <c r="F12" s="223" t="s">
        <v>256</v>
      </c>
      <c r="G12" s="224" t="s">
        <v>257</v>
      </c>
      <c r="H12" s="225"/>
      <c r="I12" s="225"/>
      <c r="J12" s="225"/>
      <c r="K12" s="225"/>
      <c r="L12" s="225" t="s">
        <v>257</v>
      </c>
      <c r="M12" s="224">
        <v>0</v>
      </c>
      <c r="N12" s="226"/>
    </row>
    <row r="13" spans="1:15">
      <c r="B13" s="227"/>
      <c r="C13" s="228"/>
      <c r="D13" s="229"/>
      <c r="E13" s="230"/>
      <c r="F13" s="231" t="s">
        <v>258</v>
      </c>
      <c r="G13" s="232" t="s">
        <v>257</v>
      </c>
      <c r="H13" s="415" t="s">
        <v>259</v>
      </c>
      <c r="I13" s="415"/>
      <c r="J13" s="415"/>
      <c r="K13" s="233"/>
      <c r="L13" s="233" t="s">
        <v>257</v>
      </c>
      <c r="M13" s="232">
        <v>1</v>
      </c>
      <c r="N13" s="234"/>
    </row>
    <row r="14" spans="1:15">
      <c r="B14" s="235"/>
      <c r="C14" s="236"/>
      <c r="D14" s="237"/>
      <c r="E14" s="238"/>
      <c r="F14" s="239" t="s">
        <v>260</v>
      </c>
      <c r="G14" s="240" t="s">
        <v>257</v>
      </c>
      <c r="H14" s="416" t="s">
        <v>261</v>
      </c>
      <c r="I14" s="416"/>
      <c r="J14" s="416"/>
      <c r="K14" s="241"/>
      <c r="L14" s="241" t="s">
        <v>257</v>
      </c>
      <c r="M14" s="240">
        <v>2</v>
      </c>
      <c r="N14" s="242"/>
      <c r="O14" s="14" t="s">
        <v>262</v>
      </c>
    </row>
    <row r="15" spans="1:15">
      <c r="B15" s="243"/>
      <c r="C15" s="244"/>
      <c r="D15" s="245"/>
      <c r="E15" s="243"/>
      <c r="F15" s="246" t="s">
        <v>263</v>
      </c>
      <c r="G15" s="247"/>
      <c r="H15" s="248"/>
      <c r="I15" s="247"/>
      <c r="J15" s="248"/>
      <c r="K15" s="248"/>
      <c r="L15" s="248"/>
      <c r="M15" s="249">
        <v>3</v>
      </c>
      <c r="N15" s="248"/>
    </row>
    <row r="16" spans="1:15">
      <c r="B16" s="243"/>
      <c r="C16" s="244"/>
      <c r="D16" s="245"/>
      <c r="E16" s="243"/>
      <c r="F16" s="246" t="s">
        <v>264</v>
      </c>
      <c r="G16" s="247"/>
      <c r="H16" s="248"/>
      <c r="I16" s="247"/>
      <c r="J16" s="248"/>
      <c r="K16" s="248"/>
      <c r="L16" s="248"/>
      <c r="M16" s="249">
        <v>4</v>
      </c>
      <c r="N16" s="248"/>
      <c r="O16" s="14"/>
    </row>
    <row r="17" spans="2:14">
      <c r="B17" s="243"/>
      <c r="C17" s="244"/>
      <c r="D17" s="245"/>
      <c r="E17" s="243"/>
      <c r="F17" s="246" t="s">
        <v>265</v>
      </c>
      <c r="G17" s="247"/>
      <c r="H17" s="248"/>
      <c r="I17" s="247"/>
      <c r="J17" s="248"/>
      <c r="K17" s="248"/>
      <c r="L17" s="248"/>
      <c r="M17" s="249">
        <v>5</v>
      </c>
      <c r="N17" s="248"/>
    </row>
    <row r="18" spans="2:14">
      <c r="B18" s="250"/>
      <c r="C18" s="251"/>
      <c r="D18" s="252"/>
      <c r="E18" s="250"/>
      <c r="F18" s="253" t="s">
        <v>266</v>
      </c>
      <c r="G18" s="254"/>
      <c r="H18" s="255"/>
      <c r="I18" s="254"/>
      <c r="J18" s="255"/>
      <c r="K18" s="255"/>
      <c r="L18" s="255"/>
      <c r="M18" s="256">
        <v>6</v>
      </c>
      <c r="N18" s="255"/>
    </row>
    <row r="19" spans="2:14">
      <c r="D19" s="215"/>
      <c r="I19" s="215"/>
      <c r="M19" s="215"/>
    </row>
    <row r="20" spans="2:14">
      <c r="D20" s="215"/>
      <c r="G20" s="76" t="s">
        <v>267</v>
      </c>
      <c r="H20" s="76" t="s">
        <v>268</v>
      </c>
      <c r="I20" s="215"/>
      <c r="K20" s="76" t="s">
        <v>267</v>
      </c>
      <c r="L20" s="76" t="s">
        <v>268</v>
      </c>
      <c r="M20" s="215"/>
    </row>
    <row r="21" spans="2:14">
      <c r="D21" s="215"/>
      <c r="I21" s="215"/>
      <c r="M21" s="412" t="s">
        <v>269</v>
      </c>
      <c r="N21" s="412"/>
    </row>
    <row r="22" spans="2:14">
      <c r="B22" s="412"/>
      <c r="C22" s="412"/>
      <c r="D22" s="412" t="s">
        <v>270</v>
      </c>
      <c r="E22" s="412"/>
      <c r="F22" s="412"/>
      <c r="G22" t="s">
        <v>271</v>
      </c>
      <c r="I22" s="215"/>
      <c r="K22" t="s">
        <v>272</v>
      </c>
    </row>
    <row r="23" spans="2:14">
      <c r="B23" s="413"/>
      <c r="C23" s="413"/>
      <c r="I23" s="215"/>
    </row>
    <row r="24" spans="2:14">
      <c r="I24" s="412" t="s">
        <v>273</v>
      </c>
      <c r="J24" s="412"/>
    </row>
    <row r="26" spans="2:14">
      <c r="H26" s="414" t="s">
        <v>274</v>
      </c>
      <c r="I26" s="414"/>
    </row>
    <row r="27" spans="2:14">
      <c r="H27" s="203"/>
      <c r="I27" s="203"/>
    </row>
    <row r="29" spans="2:14" ht="16.5">
      <c r="B29" s="77" t="s">
        <v>275</v>
      </c>
    </row>
    <row r="30" spans="2:14">
      <c r="B30" t="s">
        <v>276</v>
      </c>
    </row>
    <row r="31" spans="2:14">
      <c r="B31" t="s">
        <v>277</v>
      </c>
    </row>
    <row r="32" spans="2:14">
      <c r="B32" t="s">
        <v>278</v>
      </c>
    </row>
    <row r="33" spans="2:2">
      <c r="B33" t="s">
        <v>279</v>
      </c>
    </row>
    <row r="34" spans="2:2">
      <c r="B34" t="s">
        <v>280</v>
      </c>
    </row>
    <row r="35" spans="2:2">
      <c r="B35" t="s">
        <v>281</v>
      </c>
    </row>
    <row r="36" spans="2:2">
      <c r="B36" t="s">
        <v>282</v>
      </c>
    </row>
  </sheetData>
  <mergeCells count="9">
    <mergeCell ref="H4:I4"/>
    <mergeCell ref="H13:J13"/>
    <mergeCell ref="H14:J14"/>
    <mergeCell ref="M21:N21"/>
    <mergeCell ref="B22:C22"/>
    <mergeCell ref="D22:F22"/>
    <mergeCell ref="B23:C23"/>
    <mergeCell ref="I24:J24"/>
    <mergeCell ref="H26:I26"/>
  </mergeCells>
  <phoneticPr fontId="2"/>
  <pageMargins left="0.63" right="0.6" top="0.74" bottom="0.71" header="0.51200000000000001" footer="0.51200000000000001"/>
  <pageSetup paperSize="9" scale="94" orientation="landscape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P40"/>
  <sheetViews>
    <sheetView workbookViewId="0"/>
    <sheetView workbookViewId="1"/>
  </sheetViews>
  <sheetFormatPr defaultColWidth="8.90625" defaultRowHeight="13"/>
  <cols>
    <col min="1" max="1" width="1.6328125" customWidth="1"/>
    <col min="2" max="2" width="3.6328125" customWidth="1"/>
    <col min="4" max="4" width="11.6328125" customWidth="1"/>
  </cols>
  <sheetData>
    <row r="2" spans="2:15">
      <c r="H2" t="s">
        <v>251</v>
      </c>
    </row>
    <row r="5" spans="2:15" ht="21">
      <c r="B5" s="5"/>
      <c r="L5" s="257"/>
    </row>
    <row r="6" spans="2:15">
      <c r="C6" t="s">
        <v>283</v>
      </c>
      <c r="L6" s="257"/>
    </row>
    <row r="7" spans="2:15">
      <c r="B7" t="s">
        <v>284</v>
      </c>
      <c r="C7" s="186" t="s">
        <v>285</v>
      </c>
      <c r="D7" s="258"/>
      <c r="L7" s="257"/>
    </row>
    <row r="8" spans="2:15">
      <c r="B8" t="s">
        <v>286</v>
      </c>
      <c r="C8" s="188" t="s">
        <v>287</v>
      </c>
      <c r="D8" s="259"/>
      <c r="H8" s="417" t="s">
        <v>252</v>
      </c>
      <c r="I8" s="417"/>
      <c r="L8" s="260" t="s">
        <v>39</v>
      </c>
      <c r="M8" s="261"/>
      <c r="O8" s="262"/>
    </row>
    <row r="9" spans="2:15">
      <c r="B9" t="s">
        <v>26</v>
      </c>
      <c r="C9" s="188" t="s">
        <v>288</v>
      </c>
      <c r="D9" s="259"/>
      <c r="L9" s="257"/>
      <c r="O9" s="262"/>
    </row>
    <row r="10" spans="2:15">
      <c r="B10" t="s">
        <v>39</v>
      </c>
      <c r="C10" s="188" t="s">
        <v>289</v>
      </c>
      <c r="D10" s="259"/>
      <c r="L10" s="263" t="s">
        <v>254</v>
      </c>
      <c r="M10" s="264" t="s">
        <v>254</v>
      </c>
    </row>
    <row r="11" spans="2:15">
      <c r="C11" s="188" t="s">
        <v>290</v>
      </c>
      <c r="D11" s="259"/>
      <c r="I11" s="215"/>
    </row>
    <row r="12" spans="2:15">
      <c r="B12" t="s">
        <v>291</v>
      </c>
      <c r="C12" s="188" t="s">
        <v>292</v>
      </c>
      <c r="D12" s="259"/>
      <c r="I12" s="215"/>
      <c r="K12" s="76" t="s">
        <v>255</v>
      </c>
      <c r="N12" s="216"/>
      <c r="O12" s="216"/>
    </row>
    <row r="13" spans="2:15">
      <c r="B13" t="s">
        <v>293</v>
      </c>
      <c r="C13" s="189" t="s">
        <v>294</v>
      </c>
      <c r="D13" s="89"/>
      <c r="I13" s="265" t="s">
        <v>295</v>
      </c>
      <c r="J13" s="266" t="s">
        <v>296</v>
      </c>
      <c r="K13" s="266"/>
      <c r="L13" s="266"/>
      <c r="M13" s="76"/>
      <c r="N13" s="215"/>
    </row>
    <row r="14" spans="2:15">
      <c r="C14" s="267"/>
      <c r="E14" s="215"/>
      <c r="F14" s="76" t="s">
        <v>297</v>
      </c>
      <c r="I14" s="268" t="s">
        <v>262</v>
      </c>
      <c r="K14" s="269"/>
      <c r="L14" s="267" t="s">
        <v>262</v>
      </c>
      <c r="N14" s="215"/>
    </row>
    <row r="15" spans="2:15">
      <c r="C15" s="217"/>
      <c r="D15" s="270"/>
      <c r="E15" s="218"/>
      <c r="F15" s="217"/>
      <c r="G15" s="217"/>
      <c r="H15" s="217"/>
      <c r="I15" s="218"/>
      <c r="J15" s="217"/>
      <c r="K15" s="217"/>
      <c r="L15" s="217"/>
      <c r="M15" s="217"/>
      <c r="N15" s="218"/>
      <c r="O15" s="217"/>
    </row>
    <row r="16" spans="2:15">
      <c r="C16" s="271"/>
      <c r="D16" s="272"/>
      <c r="E16" s="273"/>
      <c r="F16" s="272" t="s">
        <v>256</v>
      </c>
      <c r="G16" s="272" t="s">
        <v>298</v>
      </c>
      <c r="H16" s="272"/>
      <c r="I16" s="274"/>
      <c r="J16" s="272" t="s">
        <v>298</v>
      </c>
      <c r="K16" s="272"/>
      <c r="L16" s="272"/>
      <c r="M16" s="272"/>
      <c r="N16" s="273">
        <v>0</v>
      </c>
      <c r="O16" s="271"/>
    </row>
    <row r="17" spans="3:16">
      <c r="C17" s="242"/>
      <c r="D17" s="275"/>
      <c r="E17" s="240"/>
      <c r="F17" s="276" t="s">
        <v>258</v>
      </c>
      <c r="G17" s="277"/>
      <c r="H17" s="278" t="s">
        <v>284</v>
      </c>
      <c r="I17" s="279"/>
      <c r="J17" s="280"/>
      <c r="K17" s="277"/>
      <c r="L17" s="278" t="s">
        <v>286</v>
      </c>
      <c r="M17" s="277"/>
      <c r="N17" s="281">
        <v>1</v>
      </c>
      <c r="O17" s="282"/>
    </row>
    <row r="18" spans="3:16">
      <c r="C18" s="243"/>
      <c r="D18" s="283"/>
      <c r="E18" s="284"/>
      <c r="F18" s="285" t="s">
        <v>260</v>
      </c>
      <c r="G18" s="285" t="s">
        <v>299</v>
      </c>
      <c r="H18" s="286"/>
      <c r="I18" s="287"/>
      <c r="J18" s="286"/>
      <c r="K18" s="285" t="s">
        <v>300</v>
      </c>
      <c r="L18" s="288"/>
      <c r="M18" s="288"/>
      <c r="N18" s="249">
        <v>2</v>
      </c>
      <c r="O18" s="248"/>
      <c r="P18" s="289" t="s">
        <v>301</v>
      </c>
    </row>
    <row r="19" spans="3:16">
      <c r="C19" s="243"/>
      <c r="D19" s="283"/>
      <c r="E19" s="245"/>
      <c r="F19" s="285" t="s">
        <v>263</v>
      </c>
      <c r="G19" s="248"/>
      <c r="H19" s="248"/>
      <c r="I19" s="247"/>
      <c r="J19" s="248"/>
      <c r="K19" s="248"/>
      <c r="L19" s="248"/>
      <c r="M19" s="248"/>
      <c r="N19" s="249">
        <v>3</v>
      </c>
      <c r="O19" s="248"/>
    </row>
    <row r="20" spans="3:16">
      <c r="C20" s="243"/>
      <c r="D20" s="283"/>
      <c r="E20" s="245"/>
      <c r="F20" s="285" t="s">
        <v>264</v>
      </c>
      <c r="G20" s="248"/>
      <c r="H20" s="248"/>
      <c r="I20" s="247"/>
      <c r="J20" s="248"/>
      <c r="K20" s="248"/>
      <c r="L20" s="248"/>
      <c r="M20" s="248"/>
      <c r="N20" s="249">
        <v>4</v>
      </c>
      <c r="O20" s="248"/>
      <c r="P20" s="14"/>
    </row>
    <row r="21" spans="3:16">
      <c r="C21" s="243"/>
      <c r="D21" s="283"/>
      <c r="E21" s="245"/>
      <c r="F21" s="285" t="s">
        <v>265</v>
      </c>
      <c r="G21" s="248"/>
      <c r="H21" s="248"/>
      <c r="I21" s="247"/>
      <c r="J21" s="290"/>
      <c r="K21" s="248"/>
      <c r="L21" s="248"/>
      <c r="M21" s="248"/>
      <c r="N21" s="249">
        <v>5</v>
      </c>
      <c r="O21" s="248"/>
    </row>
    <row r="22" spans="3:16">
      <c r="C22" s="250"/>
      <c r="D22" s="291"/>
      <c r="E22" s="252"/>
      <c r="F22" s="292" t="s">
        <v>266</v>
      </c>
      <c r="G22" s="255"/>
      <c r="H22" s="255"/>
      <c r="I22" s="254"/>
      <c r="J22" s="255"/>
      <c r="K22" s="255"/>
      <c r="L22" s="255"/>
      <c r="M22" s="255"/>
      <c r="N22" s="256">
        <v>6</v>
      </c>
      <c r="O22" s="255"/>
    </row>
    <row r="23" spans="3:16">
      <c r="E23" s="215"/>
      <c r="H23" s="76" t="s">
        <v>302</v>
      </c>
      <c r="I23" s="215"/>
      <c r="K23" s="267" t="s">
        <v>302</v>
      </c>
      <c r="N23" s="215"/>
    </row>
    <row r="24" spans="3:16">
      <c r="E24" s="215"/>
      <c r="F24" s="76" t="s">
        <v>303</v>
      </c>
      <c r="G24" s="76"/>
      <c r="H24" s="76"/>
      <c r="I24" s="268" t="s">
        <v>304</v>
      </c>
      <c r="K24" s="76"/>
      <c r="L24" s="76" t="s">
        <v>305</v>
      </c>
      <c r="M24" s="76" t="s">
        <v>306</v>
      </c>
      <c r="N24" s="215"/>
    </row>
    <row r="25" spans="3:16">
      <c r="E25" s="215"/>
      <c r="I25" s="215"/>
      <c r="J25" s="293" t="s">
        <v>307</v>
      </c>
      <c r="N25" s="412" t="s">
        <v>269</v>
      </c>
      <c r="O25" s="412"/>
    </row>
    <row r="26" spans="3:16">
      <c r="C26" s="412"/>
      <c r="D26" s="412"/>
      <c r="E26" s="412" t="s">
        <v>270</v>
      </c>
      <c r="F26" s="412"/>
      <c r="G26" t="s">
        <v>271</v>
      </c>
      <c r="I26" s="215"/>
      <c r="K26" t="s">
        <v>272</v>
      </c>
    </row>
    <row r="27" spans="3:16">
      <c r="C27" s="413"/>
      <c r="D27" s="413"/>
      <c r="E27" s="294"/>
      <c r="I27" s="215"/>
      <c r="O27" t="s">
        <v>308</v>
      </c>
    </row>
    <row r="28" spans="3:16">
      <c r="E28" s="294"/>
      <c r="I28" s="412" t="s">
        <v>273</v>
      </c>
      <c r="J28" s="412"/>
    </row>
    <row r="30" spans="3:16">
      <c r="H30" s="417" t="s">
        <v>274</v>
      </c>
      <c r="I30" s="417"/>
    </row>
    <row r="31" spans="3:16">
      <c r="H31" s="203"/>
      <c r="I31" s="203"/>
    </row>
    <row r="33" spans="3:7" ht="16.5">
      <c r="C33" s="77" t="s">
        <v>309</v>
      </c>
      <c r="G33" s="295"/>
    </row>
    <row r="34" spans="3:7">
      <c r="C34" t="s">
        <v>310</v>
      </c>
    </row>
    <row r="35" spans="3:7">
      <c r="C35" t="s">
        <v>311</v>
      </c>
    </row>
    <row r="36" spans="3:7">
      <c r="C36" t="s">
        <v>312</v>
      </c>
    </row>
    <row r="37" spans="3:7">
      <c r="C37" t="s">
        <v>313</v>
      </c>
    </row>
    <row r="38" spans="3:7">
      <c r="C38" t="s">
        <v>314</v>
      </c>
    </row>
    <row r="39" spans="3:7">
      <c r="C39" t="s">
        <v>315</v>
      </c>
    </row>
    <row r="40" spans="3:7">
      <c r="C40" t="s">
        <v>316</v>
      </c>
    </row>
  </sheetData>
  <mergeCells count="7">
    <mergeCell ref="H30:I30"/>
    <mergeCell ref="H8:I8"/>
    <mergeCell ref="N25:O25"/>
    <mergeCell ref="C26:D26"/>
    <mergeCell ref="E26:F26"/>
    <mergeCell ref="C27:D27"/>
    <mergeCell ref="I28:J28"/>
  </mergeCells>
  <phoneticPr fontId="2"/>
  <pageMargins left="0.65" right="0.5" top="0.72" bottom="0.56000000000000005" header="0.51200000000000001" footer="0.51200000000000001"/>
  <pageSetup paperSize="9" scale="95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6"/>
  <sheetViews>
    <sheetView workbookViewId="0">
      <selection sqref="A1:L2"/>
    </sheetView>
    <sheetView workbookViewId="1">
      <selection sqref="A1:L2"/>
    </sheetView>
  </sheetViews>
  <sheetFormatPr defaultColWidth="8.7265625" defaultRowHeight="13"/>
  <sheetData>
    <row r="1" spans="1:12">
      <c r="A1" s="437" t="s">
        <v>873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>
      <c r="B4" s="19" t="s">
        <v>192</v>
      </c>
      <c r="I4" s="438" t="s">
        <v>193</v>
      </c>
      <c r="J4" s="438"/>
      <c r="K4" s="438"/>
      <c r="L4" s="438"/>
    </row>
    <row r="5" spans="1:12">
      <c r="I5" s="439"/>
      <c r="J5" s="439"/>
      <c r="K5" s="439"/>
      <c r="L5" s="439"/>
    </row>
    <row r="6" spans="1:12">
      <c r="B6" s="19" t="s">
        <v>194</v>
      </c>
      <c r="I6" s="440" t="s">
        <v>195</v>
      </c>
      <c r="J6" s="440"/>
      <c r="K6" s="440"/>
      <c r="L6" s="440"/>
    </row>
    <row r="7" spans="1:12">
      <c r="I7" s="439"/>
      <c r="J7" s="439"/>
      <c r="K7" s="439"/>
      <c r="L7" s="439"/>
    </row>
    <row r="8" spans="1:12">
      <c r="B8" t="s">
        <v>196</v>
      </c>
      <c r="E8" s="19" t="s">
        <v>197</v>
      </c>
    </row>
    <row r="10" spans="1:12">
      <c r="A10" s="19" t="s">
        <v>198</v>
      </c>
    </row>
    <row r="12" spans="1:12" ht="13.15" customHeight="1">
      <c r="B12" s="296" t="s">
        <v>199</v>
      </c>
      <c r="C12" s="434" t="s">
        <v>200</v>
      </c>
      <c r="D12" s="434"/>
      <c r="E12" s="434" t="s">
        <v>201</v>
      </c>
      <c r="F12" s="434"/>
      <c r="G12" s="434"/>
      <c r="H12" s="434"/>
      <c r="I12" s="434"/>
      <c r="J12" s="434" t="s">
        <v>202</v>
      </c>
      <c r="K12" s="435"/>
      <c r="L12" s="435"/>
    </row>
    <row r="13" spans="1:12" ht="25.9" customHeight="1">
      <c r="B13" s="297"/>
      <c r="C13" s="432" t="s">
        <v>203</v>
      </c>
      <c r="D13" s="433"/>
      <c r="E13" s="434" t="s">
        <v>204</v>
      </c>
      <c r="F13" s="435"/>
      <c r="G13" s="434" t="s">
        <v>205</v>
      </c>
      <c r="H13" s="435"/>
      <c r="I13" s="435"/>
      <c r="J13" s="431"/>
      <c r="K13" s="431"/>
      <c r="L13" s="431"/>
    </row>
    <row r="15" spans="1:12">
      <c r="A15" s="19" t="s">
        <v>206</v>
      </c>
    </row>
    <row r="17" spans="1:12" ht="13.15" customHeight="1">
      <c r="B17" s="296" t="s">
        <v>199</v>
      </c>
      <c r="C17" s="434" t="s">
        <v>200</v>
      </c>
      <c r="D17" s="434"/>
      <c r="E17" s="434" t="s">
        <v>201</v>
      </c>
      <c r="F17" s="434"/>
      <c r="G17" s="434"/>
      <c r="H17" s="434"/>
      <c r="I17" s="434"/>
      <c r="J17" s="434" t="s">
        <v>202</v>
      </c>
      <c r="K17" s="435"/>
      <c r="L17" s="435"/>
    </row>
    <row r="18" spans="1:12" ht="25.9" customHeight="1">
      <c r="B18" s="297"/>
      <c r="C18" s="432" t="s">
        <v>203</v>
      </c>
      <c r="D18" s="433"/>
      <c r="E18" s="434" t="s">
        <v>204</v>
      </c>
      <c r="F18" s="435"/>
      <c r="G18" s="434" t="s">
        <v>205</v>
      </c>
      <c r="H18" s="435"/>
      <c r="I18" s="435"/>
      <c r="J18" s="431"/>
      <c r="K18" s="431"/>
      <c r="L18" s="431"/>
    </row>
    <row r="19" spans="1:12">
      <c r="B19" s="297"/>
      <c r="C19" s="436" t="s">
        <v>207</v>
      </c>
      <c r="D19" s="431"/>
      <c r="E19" s="431"/>
      <c r="F19" s="431"/>
      <c r="G19" s="431"/>
      <c r="H19" s="436" t="s">
        <v>208</v>
      </c>
      <c r="I19" s="431"/>
      <c r="J19" s="431"/>
      <c r="K19" s="431"/>
      <c r="L19" s="431"/>
    </row>
    <row r="20" spans="1:12" ht="26.5" customHeight="1">
      <c r="B20" s="298" t="s">
        <v>7</v>
      </c>
      <c r="C20" s="431"/>
      <c r="D20" s="431"/>
      <c r="E20" s="431"/>
      <c r="F20" s="431"/>
      <c r="G20" s="431"/>
      <c r="H20" s="431"/>
      <c r="I20" s="431"/>
      <c r="J20" s="431"/>
      <c r="K20" s="431"/>
      <c r="L20" s="431"/>
    </row>
    <row r="21" spans="1:12" ht="26.5" customHeight="1">
      <c r="B21" s="298" t="s">
        <v>8</v>
      </c>
      <c r="C21" s="431"/>
      <c r="D21" s="431"/>
      <c r="E21" s="431"/>
      <c r="F21" s="431"/>
      <c r="G21" s="431"/>
      <c r="H21" s="431"/>
      <c r="I21" s="431"/>
      <c r="J21" s="431"/>
      <c r="K21" s="431"/>
      <c r="L21" s="431"/>
    </row>
    <row r="22" spans="1:12" ht="26.5" customHeight="1">
      <c r="B22" s="299" t="s">
        <v>209</v>
      </c>
      <c r="C22" s="431"/>
      <c r="D22" s="431"/>
      <c r="E22" s="431"/>
      <c r="F22" s="431"/>
      <c r="G22" s="431"/>
      <c r="H22" s="431"/>
      <c r="I22" s="431"/>
      <c r="J22" s="431"/>
      <c r="K22" s="431"/>
      <c r="L22" s="431"/>
    </row>
    <row r="23" spans="1:12" ht="26.5" customHeight="1">
      <c r="B23" s="299" t="s">
        <v>210</v>
      </c>
      <c r="C23" s="431"/>
      <c r="D23" s="431"/>
      <c r="E23" s="431"/>
      <c r="F23" s="431"/>
      <c r="G23" s="431"/>
      <c r="H23" s="431"/>
      <c r="I23" s="431"/>
      <c r="J23" s="431"/>
      <c r="K23" s="431"/>
      <c r="L23" s="431"/>
    </row>
    <row r="24" spans="1:12" ht="26.5" customHeight="1">
      <c r="B24" s="298" t="s">
        <v>6</v>
      </c>
      <c r="C24" s="431"/>
      <c r="D24" s="431"/>
      <c r="E24" s="431"/>
      <c r="F24" s="431"/>
      <c r="G24" s="431"/>
      <c r="H24" s="431"/>
      <c r="I24" s="431"/>
      <c r="J24" s="431"/>
      <c r="K24" s="431"/>
      <c r="L24" s="431"/>
    </row>
    <row r="25" spans="1:12" ht="26.5" customHeight="1">
      <c r="B25" s="298" t="s">
        <v>211</v>
      </c>
      <c r="C25" s="431"/>
      <c r="D25" s="431"/>
      <c r="E25" s="431"/>
      <c r="F25" s="431"/>
      <c r="G25" s="431"/>
      <c r="H25" s="431"/>
      <c r="I25" s="431"/>
      <c r="J25" s="431"/>
      <c r="K25" s="431"/>
      <c r="L25" s="431"/>
    </row>
    <row r="26" spans="1:12" ht="26.5" customHeight="1">
      <c r="B26" s="298" t="s">
        <v>211</v>
      </c>
      <c r="C26" s="431"/>
      <c r="D26" s="431"/>
      <c r="E26" s="431"/>
      <c r="F26" s="431"/>
      <c r="G26" s="431"/>
      <c r="H26" s="431"/>
      <c r="I26" s="431"/>
      <c r="J26" s="431"/>
      <c r="K26" s="431"/>
      <c r="L26" s="431"/>
    </row>
    <row r="27" spans="1:12" ht="13.5" customHeight="1">
      <c r="B27" s="15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3.5" customHeight="1">
      <c r="A28" t="s">
        <v>212</v>
      </c>
      <c r="B28" s="157"/>
      <c r="C28" s="1"/>
      <c r="D28" s="1"/>
      <c r="E28" s="1"/>
      <c r="F28" s="1"/>
      <c r="G28" s="1"/>
      <c r="H28" s="1"/>
      <c r="I28" s="1"/>
      <c r="J28" s="1"/>
      <c r="K28" s="1"/>
      <c r="L28" s="1"/>
    </row>
    <row r="30" spans="1:12" ht="13.15" customHeight="1">
      <c r="B30" s="296" t="s">
        <v>199</v>
      </c>
      <c r="C30" s="434" t="s">
        <v>200</v>
      </c>
      <c r="D30" s="434"/>
      <c r="E30" s="434" t="s">
        <v>201</v>
      </c>
      <c r="F30" s="434"/>
      <c r="G30" s="434"/>
      <c r="H30" s="434"/>
      <c r="I30" s="434"/>
      <c r="J30" s="434" t="s">
        <v>202</v>
      </c>
      <c r="K30" s="435"/>
      <c r="L30" s="435"/>
    </row>
    <row r="31" spans="1:12" ht="25.9" customHeight="1">
      <c r="B31" s="297"/>
      <c r="C31" s="432" t="s">
        <v>203</v>
      </c>
      <c r="D31" s="433"/>
      <c r="E31" s="434" t="s">
        <v>204</v>
      </c>
      <c r="F31" s="435"/>
      <c r="G31" s="434" t="s">
        <v>205</v>
      </c>
      <c r="H31" s="435"/>
      <c r="I31" s="435"/>
      <c r="J31" s="431"/>
      <c r="K31" s="431"/>
      <c r="L31" s="431"/>
    </row>
    <row r="33" spans="1:12">
      <c r="B33" t="s">
        <v>213</v>
      </c>
      <c r="F33" t="s">
        <v>214</v>
      </c>
      <c r="J33" s="300" t="s">
        <v>215</v>
      </c>
      <c r="K33" s="301"/>
      <c r="L33" s="302"/>
    </row>
    <row r="34" spans="1:12">
      <c r="B34" s="186"/>
      <c r="C34" s="187"/>
      <c r="D34" s="187"/>
      <c r="F34" s="186"/>
      <c r="G34" s="187"/>
      <c r="H34" s="187"/>
      <c r="J34" s="419" t="s">
        <v>216</v>
      </c>
      <c r="K34" s="420"/>
      <c r="L34" s="421"/>
    </row>
    <row r="35" spans="1:12">
      <c r="B35" s="188"/>
      <c r="D35" s="427"/>
      <c r="F35" s="188"/>
      <c r="H35" s="427"/>
      <c r="J35" s="422"/>
      <c r="K35" s="413"/>
      <c r="L35" s="423"/>
    </row>
    <row r="36" spans="1:12">
      <c r="B36" s="189"/>
      <c r="C36" s="190"/>
      <c r="D36" s="427"/>
      <c r="F36" s="189"/>
      <c r="G36" s="190"/>
      <c r="H36" s="427"/>
      <c r="J36" s="424"/>
      <c r="K36" s="425"/>
      <c r="L36" s="426"/>
    </row>
    <row r="38" spans="1:12">
      <c r="A38" t="s">
        <v>217</v>
      </c>
    </row>
    <row r="40" spans="1:12" ht="91.5" customHeight="1">
      <c r="B40" s="428"/>
      <c r="C40" s="429"/>
      <c r="D40" s="429"/>
      <c r="E40" s="429"/>
      <c r="F40" s="429"/>
      <c r="G40" s="429"/>
      <c r="H40" s="429"/>
      <c r="I40" s="429"/>
      <c r="J40" s="429"/>
      <c r="K40" s="429"/>
      <c r="L40" s="430"/>
    </row>
    <row r="41" spans="1:12" ht="13.5" thickBot="1"/>
    <row r="42" spans="1:12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</row>
    <row r="43" spans="1:12">
      <c r="A43" s="303" t="s">
        <v>218</v>
      </c>
      <c r="C43" s="428" t="s">
        <v>219</v>
      </c>
      <c r="D43" s="429"/>
      <c r="E43" s="429"/>
      <c r="F43" s="429"/>
      <c r="G43" s="430"/>
      <c r="I43" s="431" t="s">
        <v>220</v>
      </c>
      <c r="J43" s="431"/>
      <c r="K43" s="431" t="s">
        <v>221</v>
      </c>
      <c r="L43" s="431"/>
    </row>
    <row r="44" spans="1:12">
      <c r="A44" s="304"/>
      <c r="C44" s="186"/>
      <c r="D44" s="305"/>
      <c r="E44" s="305"/>
      <c r="F44" s="305"/>
      <c r="G44" s="306"/>
      <c r="I44" s="418"/>
      <c r="J44" s="418"/>
      <c r="K44" s="418"/>
      <c r="L44" s="418"/>
    </row>
    <row r="45" spans="1:12">
      <c r="A45" s="192"/>
      <c r="C45" s="193" t="s">
        <v>875</v>
      </c>
      <c r="D45" s="194" t="s">
        <v>222</v>
      </c>
      <c r="E45" s="194" t="s">
        <v>223</v>
      </c>
      <c r="F45" s="194" t="s">
        <v>224</v>
      </c>
      <c r="G45" s="195" t="s">
        <v>225</v>
      </c>
      <c r="I45" s="418"/>
      <c r="J45" s="418"/>
      <c r="K45" s="418"/>
      <c r="L45" s="418"/>
    </row>
    <row r="46" spans="1:12">
      <c r="A46" s="196"/>
      <c r="C46" s="189"/>
      <c r="D46" s="190"/>
      <c r="E46" s="190"/>
      <c r="F46" s="190"/>
      <c r="G46" s="89"/>
      <c r="I46" s="418"/>
      <c r="J46" s="418"/>
      <c r="K46" s="418"/>
      <c r="L46" s="418"/>
    </row>
  </sheetData>
  <mergeCells count="49">
    <mergeCell ref="A1:L2"/>
    <mergeCell ref="I4:L5"/>
    <mergeCell ref="I6:L7"/>
    <mergeCell ref="C12:D12"/>
    <mergeCell ref="E12:I12"/>
    <mergeCell ref="J12:L12"/>
    <mergeCell ref="C13:D13"/>
    <mergeCell ref="E13:F13"/>
    <mergeCell ref="G13:I13"/>
    <mergeCell ref="J13:L13"/>
    <mergeCell ref="C17:D17"/>
    <mergeCell ref="E17:I17"/>
    <mergeCell ref="J17:L17"/>
    <mergeCell ref="C18:D18"/>
    <mergeCell ref="E18:F18"/>
    <mergeCell ref="G18:I18"/>
    <mergeCell ref="J18:L18"/>
    <mergeCell ref="C19:G19"/>
    <mergeCell ref="H19:L19"/>
    <mergeCell ref="C20:G20"/>
    <mergeCell ref="H20:L20"/>
    <mergeCell ref="C21:G21"/>
    <mergeCell ref="H21:L21"/>
    <mergeCell ref="C22:G22"/>
    <mergeCell ref="H22:L22"/>
    <mergeCell ref="C31:D31"/>
    <mergeCell ref="E31:F31"/>
    <mergeCell ref="G31:I31"/>
    <mergeCell ref="J31:L31"/>
    <mergeCell ref="C23:G23"/>
    <mergeCell ref="H23:L23"/>
    <mergeCell ref="C24:G24"/>
    <mergeCell ref="H24:L24"/>
    <mergeCell ref="C25:G25"/>
    <mergeCell ref="H25:L25"/>
    <mergeCell ref="C26:G26"/>
    <mergeCell ref="H26:L26"/>
    <mergeCell ref="C30:D30"/>
    <mergeCell ref="E30:I30"/>
    <mergeCell ref="J30:L30"/>
    <mergeCell ref="I44:J46"/>
    <mergeCell ref="K44:L46"/>
    <mergeCell ref="J34:L36"/>
    <mergeCell ref="D35:D36"/>
    <mergeCell ref="H35:H36"/>
    <mergeCell ref="B40:L40"/>
    <mergeCell ref="C43:G43"/>
    <mergeCell ref="I43:J43"/>
    <mergeCell ref="K43:L43"/>
  </mergeCells>
  <phoneticPr fontId="2"/>
  <pageMargins left="0.25" right="0.25" top="0.75" bottom="0.75" header="0.3" footer="0.3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workbookViewId="0">
      <selection sqref="A1:D1"/>
    </sheetView>
    <sheetView tabSelected="1" topLeftCell="A13" workbookViewId="1">
      <selection activeCell="C25" sqref="C25"/>
    </sheetView>
  </sheetViews>
  <sheetFormatPr defaultColWidth="8.7265625" defaultRowHeight="18" customHeight="1"/>
  <cols>
    <col min="1" max="1" width="10.08984375" customWidth="1"/>
    <col min="2" max="2" width="14.08984375" customWidth="1"/>
    <col min="3" max="3" width="50.453125" customWidth="1"/>
    <col min="4" max="4" width="25.90625" bestFit="1" customWidth="1"/>
    <col min="6" max="6" width="11.36328125" bestFit="1" customWidth="1"/>
  </cols>
  <sheetData>
    <row r="1" spans="1:7" ht="24.75" customHeight="1" thickBot="1">
      <c r="A1" s="382" t="s">
        <v>317</v>
      </c>
      <c r="B1" s="382"/>
      <c r="C1" s="382"/>
      <c r="D1" s="382"/>
      <c r="E1" s="307"/>
    </row>
    <row r="2" spans="1:7" s="169" customFormat="1" ht="21.75" customHeight="1">
      <c r="A2" s="383" t="s">
        <v>895</v>
      </c>
      <c r="B2" s="384"/>
      <c r="C2" s="384"/>
      <c r="D2" s="385"/>
    </row>
    <row r="3" spans="1:7" s="169" customFormat="1" ht="21.75" customHeight="1" thickBot="1">
      <c r="A3" s="308" t="s">
        <v>318</v>
      </c>
      <c r="B3" s="309" t="s">
        <v>319</v>
      </c>
      <c r="C3" s="310" t="s">
        <v>320</v>
      </c>
      <c r="D3" s="311" t="s">
        <v>321</v>
      </c>
      <c r="F3" s="348" t="s">
        <v>376</v>
      </c>
      <c r="G3" s="348" t="s">
        <v>377</v>
      </c>
    </row>
    <row r="4" spans="1:7" s="169" customFormat="1" ht="21.75" customHeight="1" thickTop="1">
      <c r="A4" s="312">
        <v>1</v>
      </c>
      <c r="B4" s="313">
        <v>0.47916666666666669</v>
      </c>
      <c r="C4" s="314" t="s">
        <v>335</v>
      </c>
      <c r="D4" s="315" t="s">
        <v>373</v>
      </c>
      <c r="F4" s="346" t="s">
        <v>378</v>
      </c>
      <c r="G4" s="346" t="s">
        <v>378</v>
      </c>
    </row>
    <row r="5" spans="1:7" s="169" customFormat="1" ht="21.75" customHeight="1">
      <c r="A5" s="316">
        <v>2</v>
      </c>
      <c r="B5" s="317">
        <v>0.48472222222222222</v>
      </c>
      <c r="C5" s="314" t="s">
        <v>335</v>
      </c>
      <c r="D5" s="318" t="s">
        <v>374</v>
      </c>
      <c r="F5" s="346" t="s">
        <v>379</v>
      </c>
      <c r="G5" s="346" t="s">
        <v>379</v>
      </c>
    </row>
    <row r="6" spans="1:7" s="169" customFormat="1" ht="21.75" customHeight="1">
      <c r="A6" s="316">
        <v>3</v>
      </c>
      <c r="B6" s="317">
        <v>0.49027777777777798</v>
      </c>
      <c r="C6" s="314" t="s">
        <v>56</v>
      </c>
      <c r="D6" s="318" t="s">
        <v>338</v>
      </c>
      <c r="F6" s="346" t="s">
        <v>839</v>
      </c>
      <c r="G6" s="346" t="s">
        <v>380</v>
      </c>
    </row>
    <row r="7" spans="1:7" s="169" customFormat="1" ht="21.75" customHeight="1">
      <c r="A7" s="316">
        <v>4</v>
      </c>
      <c r="B7" s="317">
        <v>0.49583333333333302</v>
      </c>
      <c r="C7" s="314" t="s">
        <v>56</v>
      </c>
      <c r="D7" s="318" t="s">
        <v>337</v>
      </c>
      <c r="F7" s="346" t="s">
        <v>840</v>
      </c>
      <c r="G7" s="346" t="s">
        <v>841</v>
      </c>
    </row>
    <row r="8" spans="1:7" s="169" customFormat="1" ht="21.75" customHeight="1">
      <c r="A8" s="316">
        <v>5</v>
      </c>
      <c r="B8" s="317">
        <v>0.50138888888888899</v>
      </c>
      <c r="C8" s="314" t="s">
        <v>322</v>
      </c>
      <c r="D8" s="318" t="s">
        <v>373</v>
      </c>
      <c r="F8" s="346"/>
      <c r="G8" s="346"/>
    </row>
    <row r="9" spans="1:7" s="169" customFormat="1" ht="21.75" customHeight="1">
      <c r="A9" s="316">
        <v>6</v>
      </c>
      <c r="B9" s="317">
        <v>0.50694444444444398</v>
      </c>
      <c r="C9" s="314" t="s">
        <v>322</v>
      </c>
      <c r="D9" s="318" t="s">
        <v>374</v>
      </c>
      <c r="F9" s="346"/>
      <c r="G9" s="346"/>
    </row>
    <row r="10" spans="1:7" s="169" customFormat="1" ht="21.75" customHeight="1">
      <c r="A10" s="316">
        <v>7</v>
      </c>
      <c r="B10" s="317">
        <v>0.51249999999999996</v>
      </c>
      <c r="C10" s="314" t="s">
        <v>322</v>
      </c>
      <c r="D10" s="318" t="s">
        <v>876</v>
      </c>
      <c r="F10" s="346"/>
      <c r="G10" s="346"/>
    </row>
    <row r="11" spans="1:7" s="169" customFormat="1" ht="21.75" customHeight="1">
      <c r="A11" s="316">
        <v>8</v>
      </c>
      <c r="B11" s="317">
        <v>0.51805555555555505</v>
      </c>
      <c r="C11" s="314" t="s">
        <v>322</v>
      </c>
      <c r="D11" s="318" t="s">
        <v>877</v>
      </c>
      <c r="F11" s="346"/>
      <c r="G11" s="346"/>
    </row>
    <row r="12" spans="1:7" s="169" customFormat="1" ht="21.75" customHeight="1">
      <c r="A12" s="316">
        <v>9</v>
      </c>
      <c r="B12" s="317">
        <v>0.52361111111111103</v>
      </c>
      <c r="C12" s="314" t="s">
        <v>322</v>
      </c>
      <c r="D12" s="318" t="s">
        <v>878</v>
      </c>
      <c r="F12" s="346"/>
      <c r="G12" s="346"/>
    </row>
    <row r="13" spans="1:7" s="169" customFormat="1" ht="21.75" customHeight="1">
      <c r="A13" s="316">
        <v>10</v>
      </c>
      <c r="B13" s="317">
        <v>0.52916666666666601</v>
      </c>
      <c r="C13" s="314" t="s">
        <v>322</v>
      </c>
      <c r="D13" s="318" t="s">
        <v>879</v>
      </c>
      <c r="F13" s="346"/>
      <c r="G13" s="346"/>
    </row>
    <row r="14" spans="1:7" s="169" customFormat="1" ht="21.75" customHeight="1">
      <c r="A14" s="316">
        <v>11</v>
      </c>
      <c r="B14" s="317">
        <v>0.53472222222222199</v>
      </c>
      <c r="C14" s="314" t="s">
        <v>322</v>
      </c>
      <c r="D14" s="318" t="s">
        <v>880</v>
      </c>
      <c r="F14" s="346"/>
      <c r="G14" s="346"/>
    </row>
    <row r="15" spans="1:7" s="169" customFormat="1" ht="21.75" customHeight="1">
      <c r="A15" s="366">
        <v>12</v>
      </c>
      <c r="B15" s="317">
        <v>0.54027777777777797</v>
      </c>
      <c r="C15" s="314" t="s">
        <v>322</v>
      </c>
      <c r="D15" s="318" t="s">
        <v>881</v>
      </c>
      <c r="F15" s="346"/>
      <c r="G15" s="346"/>
    </row>
    <row r="16" spans="1:7" s="169" customFormat="1" ht="21.75" customHeight="1">
      <c r="A16" s="366">
        <v>13</v>
      </c>
      <c r="B16" s="317">
        <v>0.54583333333333295</v>
      </c>
      <c r="C16" s="314" t="s">
        <v>322</v>
      </c>
      <c r="D16" s="318" t="s">
        <v>882</v>
      </c>
      <c r="F16" s="346"/>
      <c r="G16" s="346"/>
    </row>
    <row r="17" spans="1:7" s="169" customFormat="1" ht="21.75" customHeight="1">
      <c r="A17" s="367">
        <v>14</v>
      </c>
      <c r="B17" s="317">
        <v>0.55138888888888904</v>
      </c>
      <c r="C17" s="314" t="s">
        <v>322</v>
      </c>
      <c r="D17" s="318" t="s">
        <v>883</v>
      </c>
      <c r="F17" s="346"/>
      <c r="G17" s="346"/>
    </row>
    <row r="18" spans="1:7" s="169" customFormat="1" ht="21.75" customHeight="1">
      <c r="A18" s="386" t="s">
        <v>323</v>
      </c>
      <c r="B18" s="387"/>
      <c r="C18" s="387"/>
      <c r="D18" s="388"/>
      <c r="F18" s="348" t="s">
        <v>376</v>
      </c>
      <c r="G18" s="348" t="s">
        <v>377</v>
      </c>
    </row>
    <row r="19" spans="1:7" s="169" customFormat="1" ht="21.75" customHeight="1">
      <c r="A19" s="316">
        <v>15</v>
      </c>
      <c r="B19" s="317">
        <v>0.59722222222222221</v>
      </c>
      <c r="C19" s="314" t="s">
        <v>54</v>
      </c>
      <c r="D19" s="318" t="s">
        <v>846</v>
      </c>
      <c r="F19" s="346" t="s">
        <v>842</v>
      </c>
      <c r="G19" s="346" t="s">
        <v>843</v>
      </c>
    </row>
    <row r="20" spans="1:7" s="169" customFormat="1" ht="21.75" customHeight="1">
      <c r="A20" s="316">
        <v>16</v>
      </c>
      <c r="B20" s="317">
        <v>0.60277777777777775</v>
      </c>
      <c r="C20" s="314" t="s">
        <v>54</v>
      </c>
      <c r="D20" s="318" t="s">
        <v>847</v>
      </c>
      <c r="F20" s="346" t="s">
        <v>381</v>
      </c>
      <c r="G20" s="346" t="s">
        <v>382</v>
      </c>
    </row>
    <row r="21" spans="1:7" s="169" customFormat="1" ht="21.75" customHeight="1">
      <c r="A21" s="316">
        <v>17</v>
      </c>
      <c r="B21" s="317">
        <v>0.60833333333333295</v>
      </c>
      <c r="C21" s="314" t="s">
        <v>54</v>
      </c>
      <c r="D21" s="321" t="s">
        <v>848</v>
      </c>
      <c r="F21" s="346"/>
      <c r="G21" s="346"/>
    </row>
    <row r="22" spans="1:7" s="169" customFormat="1" ht="21.75" customHeight="1">
      <c r="A22" s="320">
        <v>18</v>
      </c>
      <c r="B22" s="317">
        <v>0.61388888888888904</v>
      </c>
      <c r="C22" s="351" t="s">
        <v>325</v>
      </c>
      <c r="D22" s="321" t="s">
        <v>336</v>
      </c>
      <c r="F22" s="346"/>
      <c r="G22" s="346"/>
    </row>
    <row r="23" spans="1:7" s="169" customFormat="1" ht="21.75" customHeight="1">
      <c r="A23" s="320">
        <v>19</v>
      </c>
      <c r="B23" s="317">
        <v>0.61944444444444402</v>
      </c>
      <c r="C23" s="324" t="s">
        <v>326</v>
      </c>
      <c r="D23" s="321" t="s">
        <v>844</v>
      </c>
      <c r="F23" s="346"/>
      <c r="G23" s="346"/>
    </row>
    <row r="24" spans="1:7" s="169" customFormat="1" ht="21.75" customHeight="1">
      <c r="A24" s="320">
        <v>20</v>
      </c>
      <c r="B24" s="317">
        <v>0.625</v>
      </c>
      <c r="C24" s="324" t="s">
        <v>322</v>
      </c>
      <c r="D24" s="319" t="s">
        <v>884</v>
      </c>
      <c r="F24" s="346"/>
      <c r="G24" s="346"/>
    </row>
    <row r="25" spans="1:7" s="169" customFormat="1" ht="21.75" customHeight="1">
      <c r="A25" s="322">
        <v>21</v>
      </c>
      <c r="B25" s="317">
        <v>0.63055555555555498</v>
      </c>
      <c r="C25" s="324" t="s">
        <v>322</v>
      </c>
      <c r="D25" s="319" t="s">
        <v>885</v>
      </c>
      <c r="F25" s="346"/>
      <c r="G25" s="346"/>
    </row>
    <row r="26" spans="1:7" s="169" customFormat="1" ht="21.75" customHeight="1">
      <c r="A26" s="320">
        <v>22</v>
      </c>
      <c r="B26" s="317">
        <v>0.63611111111111096</v>
      </c>
      <c r="C26" s="324" t="s">
        <v>322</v>
      </c>
      <c r="D26" s="319" t="s">
        <v>886</v>
      </c>
      <c r="F26" s="346"/>
      <c r="G26" s="346"/>
    </row>
    <row r="27" spans="1:7" s="169" customFormat="1" ht="21.75" customHeight="1">
      <c r="A27" s="368">
        <v>23</v>
      </c>
      <c r="B27" s="369">
        <v>0.64166666666666605</v>
      </c>
      <c r="C27" s="324" t="s">
        <v>322</v>
      </c>
      <c r="D27" s="319" t="s">
        <v>887</v>
      </c>
      <c r="F27" s="346"/>
      <c r="G27" s="346"/>
    </row>
    <row r="28" spans="1:7" s="169" customFormat="1" ht="21.75" customHeight="1">
      <c r="A28" s="370">
        <v>24</v>
      </c>
      <c r="B28" s="371">
        <v>0.64722222222222203</v>
      </c>
      <c r="C28" s="324" t="s">
        <v>322</v>
      </c>
      <c r="D28" s="319" t="s">
        <v>888</v>
      </c>
      <c r="F28" s="346"/>
      <c r="G28" s="346"/>
    </row>
    <row r="29" spans="1:7" s="169" customFormat="1" ht="21.75" customHeight="1">
      <c r="A29" s="370">
        <v>25</v>
      </c>
      <c r="B29" s="371">
        <v>0.65277777777777801</v>
      </c>
      <c r="C29" s="324" t="s">
        <v>322</v>
      </c>
      <c r="D29" s="319" t="s">
        <v>889</v>
      </c>
      <c r="F29" s="346"/>
      <c r="G29" s="346"/>
    </row>
    <row r="30" spans="1:7" s="169" customFormat="1" ht="21.75" customHeight="1">
      <c r="A30" s="370">
        <v>26</v>
      </c>
      <c r="B30" s="371">
        <v>0.65833333333333299</v>
      </c>
      <c r="C30" s="324" t="s">
        <v>322</v>
      </c>
      <c r="D30" s="319" t="s">
        <v>890</v>
      </c>
      <c r="F30" s="346"/>
      <c r="G30" s="346"/>
    </row>
    <row r="31" spans="1:7" s="169" customFormat="1" ht="21.75" customHeight="1" thickBot="1">
      <c r="A31" s="332">
        <v>27</v>
      </c>
      <c r="B31" s="333">
        <v>0.66388888888888897</v>
      </c>
      <c r="C31" s="327" t="s">
        <v>322</v>
      </c>
      <c r="D31" s="319" t="s">
        <v>891</v>
      </c>
      <c r="F31" s="347"/>
      <c r="G31" s="347"/>
    </row>
    <row r="32" spans="1:7" s="169" customFormat="1" ht="21.75" customHeight="1" thickBot="1">
      <c r="A32" s="334"/>
      <c r="B32" s="335"/>
      <c r="C32" s="336"/>
      <c r="D32" s="336"/>
    </row>
    <row r="33" spans="1:7" s="169" customFormat="1" ht="21.75" customHeight="1">
      <c r="A33" s="389" t="s">
        <v>389</v>
      </c>
      <c r="B33" s="390"/>
      <c r="C33" s="390"/>
      <c r="D33" s="391"/>
    </row>
    <row r="34" spans="1:7" s="169" customFormat="1" ht="21.75" customHeight="1" thickBot="1">
      <c r="A34" s="308" t="s">
        <v>318</v>
      </c>
      <c r="B34" s="309" t="s">
        <v>319</v>
      </c>
      <c r="C34" s="310" t="s">
        <v>320</v>
      </c>
      <c r="D34" s="311" t="s">
        <v>321</v>
      </c>
      <c r="F34" s="348" t="s">
        <v>376</v>
      </c>
      <c r="G34" s="348" t="s">
        <v>377</v>
      </c>
    </row>
    <row r="35" spans="1:7" s="169" customFormat="1" ht="21.75" customHeight="1" thickTop="1">
      <c r="A35" s="312">
        <v>28</v>
      </c>
      <c r="B35" s="313">
        <v>0.375</v>
      </c>
      <c r="C35" s="323" t="s">
        <v>54</v>
      </c>
      <c r="D35" s="318" t="s">
        <v>372</v>
      </c>
      <c r="F35" s="346" t="s">
        <v>383</v>
      </c>
      <c r="G35" s="346" t="s">
        <v>850</v>
      </c>
    </row>
    <row r="36" spans="1:7" s="169" customFormat="1" ht="21.75" customHeight="1">
      <c r="A36" s="316">
        <v>29</v>
      </c>
      <c r="B36" s="317">
        <v>0.38055555555555554</v>
      </c>
      <c r="C36" s="323" t="s">
        <v>54</v>
      </c>
      <c r="D36" s="318" t="s">
        <v>371</v>
      </c>
      <c r="F36" s="346" t="s">
        <v>853</v>
      </c>
      <c r="G36" s="346" t="s">
        <v>851</v>
      </c>
    </row>
    <row r="37" spans="1:7" s="169" customFormat="1" ht="21.75" customHeight="1">
      <c r="A37" s="316">
        <v>30</v>
      </c>
      <c r="B37" s="317">
        <v>0.38611111111111102</v>
      </c>
      <c r="C37" s="323" t="s">
        <v>328</v>
      </c>
      <c r="D37" s="318" t="s">
        <v>892</v>
      </c>
      <c r="F37" s="346" t="s">
        <v>896</v>
      </c>
      <c r="G37" s="346"/>
    </row>
    <row r="38" spans="1:7" s="169" customFormat="1" ht="21.75" customHeight="1">
      <c r="A38" s="316">
        <v>31</v>
      </c>
      <c r="B38" s="317">
        <v>0.391666666666667</v>
      </c>
      <c r="C38" s="323" t="s">
        <v>55</v>
      </c>
      <c r="D38" s="318" t="s">
        <v>893</v>
      </c>
      <c r="F38" s="346" t="s">
        <v>897</v>
      </c>
      <c r="G38" s="346"/>
    </row>
    <row r="39" spans="1:7" s="169" customFormat="1" ht="21.75" customHeight="1">
      <c r="A39" s="316">
        <v>32</v>
      </c>
      <c r="B39" s="317">
        <v>0.39722222222222198</v>
      </c>
      <c r="C39" s="323" t="s">
        <v>55</v>
      </c>
      <c r="D39" s="318" t="s">
        <v>894</v>
      </c>
      <c r="F39" s="346"/>
      <c r="G39" s="346"/>
    </row>
    <row r="40" spans="1:7" s="169" customFormat="1" ht="21.75" customHeight="1">
      <c r="A40" s="316">
        <v>33</v>
      </c>
      <c r="B40" s="317">
        <v>0.40277777777777801</v>
      </c>
      <c r="C40" s="323" t="s">
        <v>324</v>
      </c>
      <c r="D40" s="318" t="s">
        <v>375</v>
      </c>
      <c r="F40" s="346"/>
      <c r="G40" s="346"/>
    </row>
    <row r="41" spans="1:7" s="169" customFormat="1" ht="21.75" customHeight="1">
      <c r="A41" s="316">
        <v>34</v>
      </c>
      <c r="B41" s="317">
        <v>0.40833333333333299</v>
      </c>
      <c r="C41" s="323" t="s">
        <v>329</v>
      </c>
      <c r="D41" s="318" t="s">
        <v>372</v>
      </c>
      <c r="F41" s="346"/>
      <c r="G41" s="346"/>
    </row>
    <row r="42" spans="1:7" s="169" customFormat="1" ht="21.75" customHeight="1">
      <c r="A42" s="316">
        <v>35</v>
      </c>
      <c r="B42" s="317">
        <v>0.41388888888888897</v>
      </c>
      <c r="C42" s="323" t="s">
        <v>329</v>
      </c>
      <c r="D42" s="318" t="s">
        <v>371</v>
      </c>
      <c r="F42" s="346"/>
      <c r="G42" s="346"/>
    </row>
    <row r="43" spans="1:7" s="169" customFormat="1" ht="21.75" customHeight="1">
      <c r="A43" s="379" t="s">
        <v>330</v>
      </c>
      <c r="B43" s="380"/>
      <c r="C43" s="380"/>
      <c r="D43" s="381"/>
      <c r="F43" s="348" t="s">
        <v>376</v>
      </c>
      <c r="G43" s="348" t="s">
        <v>377</v>
      </c>
    </row>
    <row r="44" spans="1:7" s="169" customFormat="1" ht="21.75" customHeight="1">
      <c r="A44" s="316">
        <v>36</v>
      </c>
      <c r="B44" s="317">
        <v>0.5</v>
      </c>
      <c r="C44" s="323" t="s">
        <v>54</v>
      </c>
      <c r="D44" s="318" t="s">
        <v>53</v>
      </c>
      <c r="F44" s="346" t="s">
        <v>383</v>
      </c>
      <c r="G44" s="346" t="s">
        <v>852</v>
      </c>
    </row>
    <row r="45" spans="1:7" s="169" customFormat="1" ht="21.75" customHeight="1">
      <c r="A45" s="316">
        <v>37</v>
      </c>
      <c r="B45" s="317">
        <v>0.50694444444444442</v>
      </c>
      <c r="C45" s="323" t="s">
        <v>331</v>
      </c>
      <c r="D45" s="318" t="s">
        <v>332</v>
      </c>
      <c r="F45" s="346" t="s">
        <v>853</v>
      </c>
      <c r="G45" s="346" t="s">
        <v>853</v>
      </c>
    </row>
    <row r="46" spans="1:7" s="169" customFormat="1" ht="21.75" customHeight="1">
      <c r="A46" s="316">
        <v>38</v>
      </c>
      <c r="B46" s="317">
        <v>0.51388888888888895</v>
      </c>
      <c r="C46" s="323" t="s">
        <v>333</v>
      </c>
      <c r="D46" s="318" t="s">
        <v>53</v>
      </c>
      <c r="F46" s="346" t="s">
        <v>898</v>
      </c>
      <c r="G46" s="346" t="s">
        <v>854</v>
      </c>
    </row>
    <row r="47" spans="1:7" ht="18" customHeight="1">
      <c r="A47" s="316">
        <v>39</v>
      </c>
      <c r="B47" s="317">
        <v>0.52083333333333304</v>
      </c>
      <c r="C47" s="324" t="s">
        <v>56</v>
      </c>
      <c r="D47" s="318" t="s">
        <v>334</v>
      </c>
      <c r="E47" s="169"/>
      <c r="F47" s="346" t="s">
        <v>899</v>
      </c>
      <c r="G47" s="346"/>
    </row>
    <row r="48" spans="1:7" ht="18" customHeight="1">
      <c r="A48" s="316">
        <v>40</v>
      </c>
      <c r="B48" s="317">
        <v>0.52777777777777801</v>
      </c>
      <c r="C48" s="323" t="s">
        <v>849</v>
      </c>
      <c r="D48" s="318" t="s">
        <v>53</v>
      </c>
      <c r="E48" s="169"/>
      <c r="F48" s="346" t="s">
        <v>897</v>
      </c>
      <c r="G48" s="346"/>
    </row>
    <row r="49" spans="1:7" ht="18" customHeight="1" thickBot="1">
      <c r="A49" s="325">
        <v>41</v>
      </c>
      <c r="B49" s="326">
        <v>0.53472222222222199</v>
      </c>
      <c r="C49" s="327" t="s">
        <v>327</v>
      </c>
      <c r="D49" s="328" t="s">
        <v>334</v>
      </c>
      <c r="E49" s="169"/>
      <c r="F49" s="347"/>
      <c r="G49" s="347"/>
    </row>
    <row r="50" spans="1:7" ht="18" customHeight="1">
      <c r="A50" s="169"/>
      <c r="B50" s="169"/>
      <c r="C50" s="169"/>
      <c r="D50" s="169"/>
      <c r="E50" s="169"/>
      <c r="F50" s="169"/>
      <c r="G50" s="169"/>
    </row>
    <row r="51" spans="1:7" ht="18" customHeight="1">
      <c r="A51" s="169"/>
      <c r="B51" s="169"/>
      <c r="C51" s="169"/>
      <c r="D51" s="169"/>
      <c r="E51" s="169"/>
      <c r="F51" s="169"/>
      <c r="G51" s="169"/>
    </row>
    <row r="52" spans="1:7" ht="18" customHeight="1">
      <c r="E52" s="169"/>
      <c r="F52" s="169"/>
      <c r="G52" s="169"/>
    </row>
    <row r="53" spans="1:7" ht="18" customHeight="1">
      <c r="E53" s="169"/>
    </row>
    <row r="54" spans="1:7" ht="18" customHeight="1">
      <c r="E54" s="169"/>
    </row>
  </sheetData>
  <sheetProtection selectLockedCells="1" selectUnlockedCells="1"/>
  <mergeCells count="5">
    <mergeCell ref="A43:D43"/>
    <mergeCell ref="A1:D1"/>
    <mergeCell ref="A2:D2"/>
    <mergeCell ref="A18:D18"/>
    <mergeCell ref="A33:D33"/>
  </mergeCells>
  <phoneticPr fontId="2"/>
  <pageMargins left="1" right="1" top="1" bottom="1" header="0.5" footer="0.5"/>
  <pageSetup paperSize="9" scale="72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sqref="A1:G1"/>
    </sheetView>
    <sheetView workbookViewId="1">
      <selection sqref="A1:G1"/>
    </sheetView>
  </sheetViews>
  <sheetFormatPr defaultColWidth="8.90625" defaultRowHeight="13"/>
  <cols>
    <col min="1" max="1" width="20.6328125" style="19" customWidth="1"/>
    <col min="2" max="7" width="11.6328125" style="19" customWidth="1"/>
    <col min="8" max="16384" width="8.90625" style="19"/>
  </cols>
  <sheetData>
    <row r="1" spans="1:7" s="24" customFormat="1" ht="35.15" customHeight="1">
      <c r="A1" s="394" t="s">
        <v>58</v>
      </c>
      <c r="B1" s="394"/>
      <c r="C1" s="394"/>
      <c r="D1" s="394"/>
      <c r="E1" s="394"/>
      <c r="F1" s="394"/>
      <c r="G1" s="394"/>
    </row>
    <row r="2" spans="1:7" s="25" customFormat="1" ht="25" customHeight="1" thickBot="1"/>
    <row r="3" spans="1:7" s="4" customFormat="1" ht="30" customHeight="1">
      <c r="A3" s="392" t="s">
        <v>59</v>
      </c>
      <c r="B3" s="395" t="s">
        <v>60</v>
      </c>
      <c r="C3" s="396"/>
      <c r="D3" s="397"/>
      <c r="E3" s="395" t="s">
        <v>61</v>
      </c>
      <c r="F3" s="396"/>
      <c r="G3" s="398"/>
    </row>
    <row r="4" spans="1:7" s="4" customFormat="1" ht="33" customHeight="1" thickBot="1">
      <c r="A4" s="393"/>
      <c r="B4" s="26" t="s">
        <v>9</v>
      </c>
      <c r="C4" s="27" t="s">
        <v>36</v>
      </c>
      <c r="D4" s="27" t="s">
        <v>37</v>
      </c>
      <c r="E4" s="28" t="s">
        <v>9</v>
      </c>
      <c r="F4" s="29" t="s">
        <v>36</v>
      </c>
      <c r="G4" s="30" t="s">
        <v>37</v>
      </c>
    </row>
    <row r="5" spans="1:7" s="4" customFormat="1" ht="33" customHeight="1" thickTop="1">
      <c r="A5" s="31" t="s">
        <v>62</v>
      </c>
      <c r="B5" s="32">
        <v>1</v>
      </c>
      <c r="C5" s="159">
        <v>3</v>
      </c>
      <c r="D5" s="159">
        <v>2</v>
      </c>
      <c r="E5" s="33">
        <v>1</v>
      </c>
      <c r="F5" s="34">
        <v>2</v>
      </c>
      <c r="G5" s="35">
        <v>2</v>
      </c>
    </row>
    <row r="6" spans="1:7" s="4" customFormat="1" ht="33" customHeight="1">
      <c r="A6" s="36" t="s">
        <v>101</v>
      </c>
      <c r="B6" s="37"/>
      <c r="C6" s="38">
        <v>1</v>
      </c>
      <c r="D6" s="38">
        <v>4</v>
      </c>
      <c r="E6" s="39"/>
      <c r="F6" s="40"/>
      <c r="G6" s="41"/>
    </row>
    <row r="7" spans="1:7" s="4" customFormat="1" ht="33" customHeight="1">
      <c r="A7" s="36" t="s">
        <v>63</v>
      </c>
      <c r="B7" s="37"/>
      <c r="C7" s="38">
        <v>3</v>
      </c>
      <c r="D7" s="38">
        <v>4</v>
      </c>
      <c r="E7" s="39">
        <v>1</v>
      </c>
      <c r="F7" s="40"/>
      <c r="G7" s="41"/>
    </row>
    <row r="8" spans="1:7" s="4" customFormat="1" ht="33" customHeight="1">
      <c r="A8" s="36" t="s">
        <v>64</v>
      </c>
      <c r="B8" s="37">
        <v>1</v>
      </c>
      <c r="C8" s="38"/>
      <c r="D8" s="38">
        <v>1</v>
      </c>
      <c r="E8" s="39"/>
      <c r="F8" s="40">
        <v>1</v>
      </c>
      <c r="G8" s="41">
        <v>3</v>
      </c>
    </row>
    <row r="9" spans="1:7" s="4" customFormat="1" ht="33" customHeight="1">
      <c r="A9" s="36" t="s">
        <v>65</v>
      </c>
      <c r="B9" s="37">
        <v>1</v>
      </c>
      <c r="C9" s="38">
        <v>4</v>
      </c>
      <c r="D9" s="38">
        <v>5</v>
      </c>
      <c r="E9" s="39"/>
      <c r="F9" s="40">
        <v>3</v>
      </c>
      <c r="G9" s="41">
        <v>3</v>
      </c>
    </row>
    <row r="10" spans="1:7" s="4" customFormat="1" ht="33" customHeight="1">
      <c r="A10" s="36" t="s">
        <v>83</v>
      </c>
      <c r="B10" s="37"/>
      <c r="C10" s="38">
        <v>1</v>
      </c>
      <c r="D10" s="38">
        <v>4</v>
      </c>
      <c r="E10" s="39">
        <v>1</v>
      </c>
      <c r="F10" s="40"/>
      <c r="G10" s="41">
        <v>1</v>
      </c>
    </row>
    <row r="11" spans="1:7" s="4" customFormat="1" ht="33" customHeight="1">
      <c r="A11" s="36" t="s">
        <v>66</v>
      </c>
      <c r="B11" s="37"/>
      <c r="C11" s="38"/>
      <c r="D11" s="38">
        <v>3</v>
      </c>
      <c r="E11" s="39"/>
      <c r="F11" s="40">
        <v>1</v>
      </c>
      <c r="G11" s="41"/>
    </row>
    <row r="12" spans="1:7" s="4" customFormat="1" ht="33" customHeight="1">
      <c r="A12" s="36" t="s">
        <v>67</v>
      </c>
      <c r="B12" s="37">
        <v>2</v>
      </c>
      <c r="C12" s="38"/>
      <c r="D12" s="38">
        <v>11</v>
      </c>
      <c r="E12" s="39"/>
      <c r="F12" s="40"/>
      <c r="G12" s="41">
        <v>2</v>
      </c>
    </row>
    <row r="13" spans="1:7" s="4" customFormat="1" ht="33" customHeight="1" thickBot="1">
      <c r="A13" s="36" t="s">
        <v>100</v>
      </c>
      <c r="B13" s="115"/>
      <c r="C13" s="116"/>
      <c r="D13" s="116">
        <v>8</v>
      </c>
      <c r="E13" s="117"/>
      <c r="F13" s="118"/>
      <c r="G13" s="119">
        <v>2</v>
      </c>
    </row>
    <row r="14" spans="1:7" s="4" customFormat="1" ht="33" customHeight="1" thickTop="1" thickBot="1">
      <c r="A14" s="42" t="s">
        <v>68</v>
      </c>
      <c r="B14" s="43">
        <f t="shared" ref="B14:G14" si="0">SUM(B5:B13)</f>
        <v>5</v>
      </c>
      <c r="C14" s="44">
        <f t="shared" si="0"/>
        <v>12</v>
      </c>
      <c r="D14" s="44">
        <f t="shared" si="0"/>
        <v>42</v>
      </c>
      <c r="E14" s="45">
        <f t="shared" si="0"/>
        <v>3</v>
      </c>
      <c r="F14" s="44">
        <f t="shared" si="0"/>
        <v>7</v>
      </c>
      <c r="G14" s="46">
        <f t="shared" si="0"/>
        <v>13</v>
      </c>
    </row>
    <row r="15" spans="1:7" ht="25" customHeight="1"/>
    <row r="16" spans="1:7" s="5" customFormat="1" ht="25" customHeight="1">
      <c r="A16" s="47" t="s">
        <v>10</v>
      </c>
      <c r="B16" s="5" t="s">
        <v>11</v>
      </c>
    </row>
    <row r="17" spans="1:4" s="5" customFormat="1" ht="20.25" customHeight="1">
      <c r="A17" s="47"/>
    </row>
    <row r="18" spans="1:4" s="5" customFormat="1" ht="25" customHeight="1">
      <c r="A18" s="47" t="s">
        <v>12</v>
      </c>
      <c r="B18" s="5" t="s">
        <v>13</v>
      </c>
    </row>
    <row r="19" spans="1:4" ht="20.25" customHeight="1"/>
    <row r="20" spans="1:4" ht="25" customHeight="1">
      <c r="A20" s="47" t="s">
        <v>14</v>
      </c>
      <c r="B20" s="5" t="s">
        <v>69</v>
      </c>
      <c r="C20" s="5"/>
      <c r="D20" s="5"/>
    </row>
  </sheetData>
  <mergeCells count="4">
    <mergeCell ref="A3:A4"/>
    <mergeCell ref="A1:G1"/>
    <mergeCell ref="B3:D3"/>
    <mergeCell ref="E3:G3"/>
  </mergeCells>
  <phoneticPr fontId="2"/>
  <pageMargins left="0.78740157480314965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"/>
  <sheetViews>
    <sheetView workbookViewId="0"/>
    <sheetView workbookViewId="1"/>
  </sheetViews>
  <sheetFormatPr defaultRowHeight="12"/>
  <cols>
    <col min="1" max="1" width="5.453125" style="160" customWidth="1"/>
    <col min="2" max="6" width="9" style="160"/>
    <col min="7" max="7" width="10.6328125" style="160" customWidth="1"/>
    <col min="8" max="8" width="11.08984375" style="160" customWidth="1"/>
    <col min="9" max="9" width="15.6328125" style="160" customWidth="1"/>
    <col min="10" max="247" width="9" style="160"/>
    <col min="248" max="248" width="7" style="160" customWidth="1"/>
    <col min="249" max="253" width="9" style="160"/>
    <col min="254" max="254" width="10.6328125" style="160" customWidth="1"/>
    <col min="255" max="255" width="9" style="160"/>
    <col min="256" max="256" width="12.26953125" style="160" customWidth="1"/>
    <col min="257" max="503" width="9" style="160"/>
    <col min="504" max="504" width="7" style="160" customWidth="1"/>
    <col min="505" max="509" width="9" style="160"/>
    <col min="510" max="510" width="10.6328125" style="160" customWidth="1"/>
    <col min="511" max="511" width="9" style="160"/>
    <col min="512" max="512" width="12.26953125" style="160" customWidth="1"/>
    <col min="513" max="759" width="9" style="160"/>
    <col min="760" max="760" width="7" style="160" customWidth="1"/>
    <col min="761" max="765" width="9" style="160"/>
    <col min="766" max="766" width="10.6328125" style="160" customWidth="1"/>
    <col min="767" max="767" width="9" style="160"/>
    <col min="768" max="768" width="12.26953125" style="160" customWidth="1"/>
    <col min="769" max="1015" width="9" style="160"/>
    <col min="1016" max="1016" width="7" style="160" customWidth="1"/>
    <col min="1017" max="1021" width="9" style="160"/>
    <col min="1022" max="1022" width="10.6328125" style="160" customWidth="1"/>
    <col min="1023" max="1023" width="9" style="160"/>
    <col min="1024" max="1024" width="12.26953125" style="160" customWidth="1"/>
    <col min="1025" max="1271" width="9" style="160"/>
    <col min="1272" max="1272" width="7" style="160" customWidth="1"/>
    <col min="1273" max="1277" width="9" style="160"/>
    <col min="1278" max="1278" width="10.6328125" style="160" customWidth="1"/>
    <col min="1279" max="1279" width="9" style="160"/>
    <col min="1280" max="1280" width="12.26953125" style="160" customWidth="1"/>
    <col min="1281" max="1527" width="9" style="160"/>
    <col min="1528" max="1528" width="7" style="160" customWidth="1"/>
    <col min="1529" max="1533" width="9" style="160"/>
    <col min="1534" max="1534" width="10.6328125" style="160" customWidth="1"/>
    <col min="1535" max="1535" width="9" style="160"/>
    <col min="1536" max="1536" width="12.26953125" style="160" customWidth="1"/>
    <col min="1537" max="1783" width="9" style="160"/>
    <col min="1784" max="1784" width="7" style="160" customWidth="1"/>
    <col min="1785" max="1789" width="9" style="160"/>
    <col min="1790" max="1790" width="10.6328125" style="160" customWidth="1"/>
    <col min="1791" max="1791" width="9" style="160"/>
    <col min="1792" max="1792" width="12.26953125" style="160" customWidth="1"/>
    <col min="1793" max="2039" width="9" style="160"/>
    <col min="2040" max="2040" width="7" style="160" customWidth="1"/>
    <col min="2041" max="2045" width="9" style="160"/>
    <col min="2046" max="2046" width="10.6328125" style="160" customWidth="1"/>
    <col min="2047" max="2047" width="9" style="160"/>
    <col min="2048" max="2048" width="12.26953125" style="160" customWidth="1"/>
    <col min="2049" max="2295" width="9" style="160"/>
    <col min="2296" max="2296" width="7" style="160" customWidth="1"/>
    <col min="2297" max="2301" width="9" style="160"/>
    <col min="2302" max="2302" width="10.6328125" style="160" customWidth="1"/>
    <col min="2303" max="2303" width="9" style="160"/>
    <col min="2304" max="2304" width="12.26953125" style="160" customWidth="1"/>
    <col min="2305" max="2551" width="9" style="160"/>
    <col min="2552" max="2552" width="7" style="160" customWidth="1"/>
    <col min="2553" max="2557" width="9" style="160"/>
    <col min="2558" max="2558" width="10.6328125" style="160" customWidth="1"/>
    <col min="2559" max="2559" width="9" style="160"/>
    <col min="2560" max="2560" width="12.26953125" style="160" customWidth="1"/>
    <col min="2561" max="2807" width="9" style="160"/>
    <col min="2808" max="2808" width="7" style="160" customWidth="1"/>
    <col min="2809" max="2813" width="9" style="160"/>
    <col min="2814" max="2814" width="10.6328125" style="160" customWidth="1"/>
    <col min="2815" max="2815" width="9" style="160"/>
    <col min="2816" max="2816" width="12.26953125" style="160" customWidth="1"/>
    <col min="2817" max="3063" width="9" style="160"/>
    <col min="3064" max="3064" width="7" style="160" customWidth="1"/>
    <col min="3065" max="3069" width="9" style="160"/>
    <col min="3070" max="3070" width="10.6328125" style="160" customWidth="1"/>
    <col min="3071" max="3071" width="9" style="160"/>
    <col min="3072" max="3072" width="12.26953125" style="160" customWidth="1"/>
    <col min="3073" max="3319" width="9" style="160"/>
    <col min="3320" max="3320" width="7" style="160" customWidth="1"/>
    <col min="3321" max="3325" width="9" style="160"/>
    <col min="3326" max="3326" width="10.6328125" style="160" customWidth="1"/>
    <col min="3327" max="3327" width="9" style="160"/>
    <col min="3328" max="3328" width="12.26953125" style="160" customWidth="1"/>
    <col min="3329" max="3575" width="9" style="160"/>
    <col min="3576" max="3576" width="7" style="160" customWidth="1"/>
    <col min="3577" max="3581" width="9" style="160"/>
    <col min="3582" max="3582" width="10.6328125" style="160" customWidth="1"/>
    <col min="3583" max="3583" width="9" style="160"/>
    <col min="3584" max="3584" width="12.26953125" style="160" customWidth="1"/>
    <col min="3585" max="3831" width="9" style="160"/>
    <col min="3832" max="3832" width="7" style="160" customWidth="1"/>
    <col min="3833" max="3837" width="9" style="160"/>
    <col min="3838" max="3838" width="10.6328125" style="160" customWidth="1"/>
    <col min="3839" max="3839" width="9" style="160"/>
    <col min="3840" max="3840" width="12.26953125" style="160" customWidth="1"/>
    <col min="3841" max="4087" width="9" style="160"/>
    <col min="4088" max="4088" width="7" style="160" customWidth="1"/>
    <col min="4089" max="4093" width="9" style="160"/>
    <col min="4094" max="4094" width="10.6328125" style="160" customWidth="1"/>
    <col min="4095" max="4095" width="9" style="160"/>
    <col min="4096" max="4096" width="12.26953125" style="160" customWidth="1"/>
    <col min="4097" max="4343" width="9" style="160"/>
    <col min="4344" max="4344" width="7" style="160" customWidth="1"/>
    <col min="4345" max="4349" width="9" style="160"/>
    <col min="4350" max="4350" width="10.6328125" style="160" customWidth="1"/>
    <col min="4351" max="4351" width="9" style="160"/>
    <col min="4352" max="4352" width="12.26953125" style="160" customWidth="1"/>
    <col min="4353" max="4599" width="9" style="160"/>
    <col min="4600" max="4600" width="7" style="160" customWidth="1"/>
    <col min="4601" max="4605" width="9" style="160"/>
    <col min="4606" max="4606" width="10.6328125" style="160" customWidth="1"/>
    <col min="4607" max="4607" width="9" style="160"/>
    <col min="4608" max="4608" width="12.26953125" style="160" customWidth="1"/>
    <col min="4609" max="4855" width="9" style="160"/>
    <col min="4856" max="4856" width="7" style="160" customWidth="1"/>
    <col min="4857" max="4861" width="9" style="160"/>
    <col min="4862" max="4862" width="10.6328125" style="160" customWidth="1"/>
    <col min="4863" max="4863" width="9" style="160"/>
    <col min="4864" max="4864" width="12.26953125" style="160" customWidth="1"/>
    <col min="4865" max="5111" width="9" style="160"/>
    <col min="5112" max="5112" width="7" style="160" customWidth="1"/>
    <col min="5113" max="5117" width="9" style="160"/>
    <col min="5118" max="5118" width="10.6328125" style="160" customWidth="1"/>
    <col min="5119" max="5119" width="9" style="160"/>
    <col min="5120" max="5120" width="12.26953125" style="160" customWidth="1"/>
    <col min="5121" max="5367" width="9" style="160"/>
    <col min="5368" max="5368" width="7" style="160" customWidth="1"/>
    <col min="5369" max="5373" width="9" style="160"/>
    <col min="5374" max="5374" width="10.6328125" style="160" customWidth="1"/>
    <col min="5375" max="5375" width="9" style="160"/>
    <col min="5376" max="5376" width="12.26953125" style="160" customWidth="1"/>
    <col min="5377" max="5623" width="9" style="160"/>
    <col min="5624" max="5624" width="7" style="160" customWidth="1"/>
    <col min="5625" max="5629" width="9" style="160"/>
    <col min="5630" max="5630" width="10.6328125" style="160" customWidth="1"/>
    <col min="5631" max="5631" width="9" style="160"/>
    <col min="5632" max="5632" width="12.26953125" style="160" customWidth="1"/>
    <col min="5633" max="5879" width="9" style="160"/>
    <col min="5880" max="5880" width="7" style="160" customWidth="1"/>
    <col min="5881" max="5885" width="9" style="160"/>
    <col min="5886" max="5886" width="10.6328125" style="160" customWidth="1"/>
    <col min="5887" max="5887" width="9" style="160"/>
    <col min="5888" max="5888" width="12.26953125" style="160" customWidth="1"/>
    <col min="5889" max="6135" width="9" style="160"/>
    <col min="6136" max="6136" width="7" style="160" customWidth="1"/>
    <col min="6137" max="6141" width="9" style="160"/>
    <col min="6142" max="6142" width="10.6328125" style="160" customWidth="1"/>
    <col min="6143" max="6143" width="9" style="160"/>
    <col min="6144" max="6144" width="12.26953125" style="160" customWidth="1"/>
    <col min="6145" max="6391" width="9" style="160"/>
    <col min="6392" max="6392" width="7" style="160" customWidth="1"/>
    <col min="6393" max="6397" width="9" style="160"/>
    <col min="6398" max="6398" width="10.6328125" style="160" customWidth="1"/>
    <col min="6399" max="6399" width="9" style="160"/>
    <col min="6400" max="6400" width="12.26953125" style="160" customWidth="1"/>
    <col min="6401" max="6647" width="9" style="160"/>
    <col min="6648" max="6648" width="7" style="160" customWidth="1"/>
    <col min="6649" max="6653" width="9" style="160"/>
    <col min="6654" max="6654" width="10.6328125" style="160" customWidth="1"/>
    <col min="6655" max="6655" width="9" style="160"/>
    <col min="6656" max="6656" width="12.26953125" style="160" customWidth="1"/>
    <col min="6657" max="6903" width="9" style="160"/>
    <col min="6904" max="6904" width="7" style="160" customWidth="1"/>
    <col min="6905" max="6909" width="9" style="160"/>
    <col min="6910" max="6910" width="10.6328125" style="160" customWidth="1"/>
    <col min="6911" max="6911" width="9" style="160"/>
    <col min="6912" max="6912" width="12.26953125" style="160" customWidth="1"/>
    <col min="6913" max="7159" width="9" style="160"/>
    <col min="7160" max="7160" width="7" style="160" customWidth="1"/>
    <col min="7161" max="7165" width="9" style="160"/>
    <col min="7166" max="7166" width="10.6328125" style="160" customWidth="1"/>
    <col min="7167" max="7167" width="9" style="160"/>
    <col min="7168" max="7168" width="12.26953125" style="160" customWidth="1"/>
    <col min="7169" max="7415" width="9" style="160"/>
    <col min="7416" max="7416" width="7" style="160" customWidth="1"/>
    <col min="7417" max="7421" width="9" style="160"/>
    <col min="7422" max="7422" width="10.6328125" style="160" customWidth="1"/>
    <col min="7423" max="7423" width="9" style="160"/>
    <col min="7424" max="7424" width="12.26953125" style="160" customWidth="1"/>
    <col min="7425" max="7671" width="9" style="160"/>
    <col min="7672" max="7672" width="7" style="160" customWidth="1"/>
    <col min="7673" max="7677" width="9" style="160"/>
    <col min="7678" max="7678" width="10.6328125" style="160" customWidth="1"/>
    <col min="7679" max="7679" width="9" style="160"/>
    <col min="7680" max="7680" width="12.26953125" style="160" customWidth="1"/>
    <col min="7681" max="7927" width="9" style="160"/>
    <col min="7928" max="7928" width="7" style="160" customWidth="1"/>
    <col min="7929" max="7933" width="9" style="160"/>
    <col min="7934" max="7934" width="10.6328125" style="160" customWidth="1"/>
    <col min="7935" max="7935" width="9" style="160"/>
    <col min="7936" max="7936" width="12.26953125" style="160" customWidth="1"/>
    <col min="7937" max="8183" width="9" style="160"/>
    <col min="8184" max="8184" width="7" style="160" customWidth="1"/>
    <col min="8185" max="8189" width="9" style="160"/>
    <col min="8190" max="8190" width="10.6328125" style="160" customWidth="1"/>
    <col min="8191" max="8191" width="9" style="160"/>
    <col min="8192" max="8192" width="12.26953125" style="160" customWidth="1"/>
    <col min="8193" max="8439" width="9" style="160"/>
    <col min="8440" max="8440" width="7" style="160" customWidth="1"/>
    <col min="8441" max="8445" width="9" style="160"/>
    <col min="8446" max="8446" width="10.6328125" style="160" customWidth="1"/>
    <col min="8447" max="8447" width="9" style="160"/>
    <col min="8448" max="8448" width="12.26953125" style="160" customWidth="1"/>
    <col min="8449" max="8695" width="9" style="160"/>
    <col min="8696" max="8696" width="7" style="160" customWidth="1"/>
    <col min="8697" max="8701" width="9" style="160"/>
    <col min="8702" max="8702" width="10.6328125" style="160" customWidth="1"/>
    <col min="8703" max="8703" width="9" style="160"/>
    <col min="8704" max="8704" width="12.26953125" style="160" customWidth="1"/>
    <col min="8705" max="8951" width="9" style="160"/>
    <col min="8952" max="8952" width="7" style="160" customWidth="1"/>
    <col min="8953" max="8957" width="9" style="160"/>
    <col min="8958" max="8958" width="10.6328125" style="160" customWidth="1"/>
    <col min="8959" max="8959" width="9" style="160"/>
    <col min="8960" max="8960" width="12.26953125" style="160" customWidth="1"/>
    <col min="8961" max="9207" width="9" style="160"/>
    <col min="9208" max="9208" width="7" style="160" customWidth="1"/>
    <col min="9209" max="9213" width="9" style="160"/>
    <col min="9214" max="9214" width="10.6328125" style="160" customWidth="1"/>
    <col min="9215" max="9215" width="9" style="160"/>
    <col min="9216" max="9216" width="12.26953125" style="160" customWidth="1"/>
    <col min="9217" max="9463" width="9" style="160"/>
    <col min="9464" max="9464" width="7" style="160" customWidth="1"/>
    <col min="9465" max="9469" width="9" style="160"/>
    <col min="9470" max="9470" width="10.6328125" style="160" customWidth="1"/>
    <col min="9471" max="9471" width="9" style="160"/>
    <col min="9472" max="9472" width="12.26953125" style="160" customWidth="1"/>
    <col min="9473" max="9719" width="9" style="160"/>
    <col min="9720" max="9720" width="7" style="160" customWidth="1"/>
    <col min="9721" max="9725" width="9" style="160"/>
    <col min="9726" max="9726" width="10.6328125" style="160" customWidth="1"/>
    <col min="9727" max="9727" width="9" style="160"/>
    <col min="9728" max="9728" width="12.26953125" style="160" customWidth="1"/>
    <col min="9729" max="9975" width="9" style="160"/>
    <col min="9976" max="9976" width="7" style="160" customWidth="1"/>
    <col min="9977" max="9981" width="9" style="160"/>
    <col min="9982" max="9982" width="10.6328125" style="160" customWidth="1"/>
    <col min="9983" max="9983" width="9" style="160"/>
    <col min="9984" max="9984" width="12.26953125" style="160" customWidth="1"/>
    <col min="9985" max="10231" width="9" style="160"/>
    <col min="10232" max="10232" width="7" style="160" customWidth="1"/>
    <col min="10233" max="10237" width="9" style="160"/>
    <col min="10238" max="10238" width="10.6328125" style="160" customWidth="1"/>
    <col min="10239" max="10239" width="9" style="160"/>
    <col min="10240" max="10240" width="12.26953125" style="160" customWidth="1"/>
    <col min="10241" max="10487" width="9" style="160"/>
    <col min="10488" max="10488" width="7" style="160" customWidth="1"/>
    <col min="10489" max="10493" width="9" style="160"/>
    <col min="10494" max="10494" width="10.6328125" style="160" customWidth="1"/>
    <col min="10495" max="10495" width="9" style="160"/>
    <col min="10496" max="10496" width="12.26953125" style="160" customWidth="1"/>
    <col min="10497" max="10743" width="9" style="160"/>
    <col min="10744" max="10744" width="7" style="160" customWidth="1"/>
    <col min="10745" max="10749" width="9" style="160"/>
    <col min="10750" max="10750" width="10.6328125" style="160" customWidth="1"/>
    <col min="10751" max="10751" width="9" style="160"/>
    <col min="10752" max="10752" width="12.26953125" style="160" customWidth="1"/>
    <col min="10753" max="10999" width="9" style="160"/>
    <col min="11000" max="11000" width="7" style="160" customWidth="1"/>
    <col min="11001" max="11005" width="9" style="160"/>
    <col min="11006" max="11006" width="10.6328125" style="160" customWidth="1"/>
    <col min="11007" max="11007" width="9" style="160"/>
    <col min="11008" max="11008" width="12.26953125" style="160" customWidth="1"/>
    <col min="11009" max="11255" width="9" style="160"/>
    <col min="11256" max="11256" width="7" style="160" customWidth="1"/>
    <col min="11257" max="11261" width="9" style="160"/>
    <col min="11262" max="11262" width="10.6328125" style="160" customWidth="1"/>
    <col min="11263" max="11263" width="9" style="160"/>
    <col min="11264" max="11264" width="12.26953125" style="160" customWidth="1"/>
    <col min="11265" max="11511" width="9" style="160"/>
    <col min="11512" max="11512" width="7" style="160" customWidth="1"/>
    <col min="11513" max="11517" width="9" style="160"/>
    <col min="11518" max="11518" width="10.6328125" style="160" customWidth="1"/>
    <col min="11519" max="11519" width="9" style="160"/>
    <col min="11520" max="11520" width="12.26953125" style="160" customWidth="1"/>
    <col min="11521" max="11767" width="9" style="160"/>
    <col min="11768" max="11768" width="7" style="160" customWidth="1"/>
    <col min="11769" max="11773" width="9" style="160"/>
    <col min="11774" max="11774" width="10.6328125" style="160" customWidth="1"/>
    <col min="11775" max="11775" width="9" style="160"/>
    <col min="11776" max="11776" width="12.26953125" style="160" customWidth="1"/>
    <col min="11777" max="12023" width="9" style="160"/>
    <col min="12024" max="12024" width="7" style="160" customWidth="1"/>
    <col min="12025" max="12029" width="9" style="160"/>
    <col min="12030" max="12030" width="10.6328125" style="160" customWidth="1"/>
    <col min="12031" max="12031" width="9" style="160"/>
    <col min="12032" max="12032" width="12.26953125" style="160" customWidth="1"/>
    <col min="12033" max="12279" width="9" style="160"/>
    <col min="12280" max="12280" width="7" style="160" customWidth="1"/>
    <col min="12281" max="12285" width="9" style="160"/>
    <col min="12286" max="12286" width="10.6328125" style="160" customWidth="1"/>
    <col min="12287" max="12287" width="9" style="160"/>
    <col min="12288" max="12288" width="12.26953125" style="160" customWidth="1"/>
    <col min="12289" max="12535" width="9" style="160"/>
    <col min="12536" max="12536" width="7" style="160" customWidth="1"/>
    <col min="12537" max="12541" width="9" style="160"/>
    <col min="12542" max="12542" width="10.6328125" style="160" customWidth="1"/>
    <col min="12543" max="12543" width="9" style="160"/>
    <col min="12544" max="12544" width="12.26953125" style="160" customWidth="1"/>
    <col min="12545" max="12791" width="9" style="160"/>
    <col min="12792" max="12792" width="7" style="160" customWidth="1"/>
    <col min="12793" max="12797" width="9" style="160"/>
    <col min="12798" max="12798" width="10.6328125" style="160" customWidth="1"/>
    <col min="12799" max="12799" width="9" style="160"/>
    <col min="12800" max="12800" width="12.26953125" style="160" customWidth="1"/>
    <col min="12801" max="13047" width="9" style="160"/>
    <col min="13048" max="13048" width="7" style="160" customWidth="1"/>
    <col min="13049" max="13053" width="9" style="160"/>
    <col min="13054" max="13054" width="10.6328125" style="160" customWidth="1"/>
    <col min="13055" max="13055" width="9" style="160"/>
    <col min="13056" max="13056" width="12.26953125" style="160" customWidth="1"/>
    <col min="13057" max="13303" width="9" style="160"/>
    <col min="13304" max="13304" width="7" style="160" customWidth="1"/>
    <col min="13305" max="13309" width="9" style="160"/>
    <col min="13310" max="13310" width="10.6328125" style="160" customWidth="1"/>
    <col min="13311" max="13311" width="9" style="160"/>
    <col min="13312" max="13312" width="12.26953125" style="160" customWidth="1"/>
    <col min="13313" max="13559" width="9" style="160"/>
    <col min="13560" max="13560" width="7" style="160" customWidth="1"/>
    <col min="13561" max="13565" width="9" style="160"/>
    <col min="13566" max="13566" width="10.6328125" style="160" customWidth="1"/>
    <col min="13567" max="13567" width="9" style="160"/>
    <col min="13568" max="13568" width="12.26953125" style="160" customWidth="1"/>
    <col min="13569" max="13815" width="9" style="160"/>
    <col min="13816" max="13816" width="7" style="160" customWidth="1"/>
    <col min="13817" max="13821" width="9" style="160"/>
    <col min="13822" max="13822" width="10.6328125" style="160" customWidth="1"/>
    <col min="13823" max="13823" width="9" style="160"/>
    <col min="13824" max="13824" width="12.26953125" style="160" customWidth="1"/>
    <col min="13825" max="14071" width="9" style="160"/>
    <col min="14072" max="14072" width="7" style="160" customWidth="1"/>
    <col min="14073" max="14077" width="9" style="160"/>
    <col min="14078" max="14078" width="10.6328125" style="160" customWidth="1"/>
    <col min="14079" max="14079" width="9" style="160"/>
    <col min="14080" max="14080" width="12.26953125" style="160" customWidth="1"/>
    <col min="14081" max="14327" width="9" style="160"/>
    <col min="14328" max="14328" width="7" style="160" customWidth="1"/>
    <col min="14329" max="14333" width="9" style="160"/>
    <col min="14334" max="14334" width="10.6328125" style="160" customWidth="1"/>
    <col min="14335" max="14335" width="9" style="160"/>
    <col min="14336" max="14336" width="12.26953125" style="160" customWidth="1"/>
    <col min="14337" max="14583" width="9" style="160"/>
    <col min="14584" max="14584" width="7" style="160" customWidth="1"/>
    <col min="14585" max="14589" width="9" style="160"/>
    <col min="14590" max="14590" width="10.6328125" style="160" customWidth="1"/>
    <col min="14591" max="14591" width="9" style="160"/>
    <col min="14592" max="14592" width="12.26953125" style="160" customWidth="1"/>
    <col min="14593" max="14839" width="9" style="160"/>
    <col min="14840" max="14840" width="7" style="160" customWidth="1"/>
    <col min="14841" max="14845" width="9" style="160"/>
    <col min="14846" max="14846" width="10.6328125" style="160" customWidth="1"/>
    <col min="14847" max="14847" width="9" style="160"/>
    <col min="14848" max="14848" width="12.26953125" style="160" customWidth="1"/>
    <col min="14849" max="15095" width="9" style="160"/>
    <col min="15096" max="15096" width="7" style="160" customWidth="1"/>
    <col min="15097" max="15101" width="9" style="160"/>
    <col min="15102" max="15102" width="10.6328125" style="160" customWidth="1"/>
    <col min="15103" max="15103" width="9" style="160"/>
    <col min="15104" max="15104" width="12.26953125" style="160" customWidth="1"/>
    <col min="15105" max="15351" width="9" style="160"/>
    <col min="15352" max="15352" width="7" style="160" customWidth="1"/>
    <col min="15353" max="15357" width="9" style="160"/>
    <col min="15358" max="15358" width="10.6328125" style="160" customWidth="1"/>
    <col min="15359" max="15359" width="9" style="160"/>
    <col min="15360" max="15360" width="12.26953125" style="160" customWidth="1"/>
    <col min="15361" max="15607" width="9" style="160"/>
    <col min="15608" max="15608" width="7" style="160" customWidth="1"/>
    <col min="15609" max="15613" width="9" style="160"/>
    <col min="15614" max="15614" width="10.6328125" style="160" customWidth="1"/>
    <col min="15615" max="15615" width="9" style="160"/>
    <col min="15616" max="15616" width="12.26953125" style="160" customWidth="1"/>
    <col min="15617" max="15863" width="9" style="160"/>
    <col min="15864" max="15864" width="7" style="160" customWidth="1"/>
    <col min="15865" max="15869" width="9" style="160"/>
    <col min="15870" max="15870" width="10.6328125" style="160" customWidth="1"/>
    <col min="15871" max="15871" width="9" style="160"/>
    <col min="15872" max="15872" width="12.26953125" style="160" customWidth="1"/>
    <col min="15873" max="16119" width="9" style="160"/>
    <col min="16120" max="16120" width="7" style="160" customWidth="1"/>
    <col min="16121" max="16125" width="9" style="160"/>
    <col min="16126" max="16126" width="10.6328125" style="160" customWidth="1"/>
    <col min="16127" max="16127" width="9" style="160"/>
    <col min="16128" max="16128" width="12.26953125" style="160" customWidth="1"/>
    <col min="16129" max="16384" width="9" style="160"/>
  </cols>
  <sheetData>
    <row r="1" spans="1:9" s="183" customFormat="1" ht="21.75" customHeight="1">
      <c r="A1" s="182" t="s">
        <v>98</v>
      </c>
    </row>
    <row r="2" spans="1:9" ht="14.5" customHeight="1">
      <c r="A2" s="184">
        <v>1</v>
      </c>
      <c r="B2" s="160" t="s">
        <v>114</v>
      </c>
    </row>
    <row r="3" spans="1:9" ht="14.5" customHeight="1">
      <c r="A3" s="184">
        <v>2</v>
      </c>
      <c r="B3" s="160" t="s">
        <v>115</v>
      </c>
    </row>
    <row r="4" spans="1:9" ht="14.5" customHeight="1">
      <c r="A4" s="184">
        <v>3</v>
      </c>
      <c r="B4" s="160" t="s">
        <v>148</v>
      </c>
    </row>
    <row r="5" spans="1:9" ht="14.5" customHeight="1">
      <c r="A5" s="184"/>
      <c r="I5" s="161" t="s">
        <v>855</v>
      </c>
    </row>
    <row r="6" spans="1:9" ht="14.5" customHeight="1">
      <c r="A6" s="184">
        <v>4</v>
      </c>
      <c r="B6" s="160" t="s">
        <v>116</v>
      </c>
    </row>
    <row r="7" spans="1:9" ht="14.5" customHeight="1">
      <c r="A7" s="184"/>
      <c r="B7" s="160" t="s">
        <v>149</v>
      </c>
    </row>
    <row r="8" spans="1:9" ht="14.5" customHeight="1">
      <c r="A8" s="184"/>
      <c r="B8" s="160" t="s">
        <v>856</v>
      </c>
    </row>
    <row r="9" spans="1:9" ht="14.5" customHeight="1">
      <c r="A9" s="184"/>
      <c r="B9" s="160" t="s">
        <v>150</v>
      </c>
      <c r="I9" s="161" t="s">
        <v>857</v>
      </c>
    </row>
    <row r="10" spans="1:9" ht="14.5" customHeight="1">
      <c r="A10" s="184"/>
      <c r="B10" s="160" t="s">
        <v>151</v>
      </c>
      <c r="I10" s="161" t="s">
        <v>152</v>
      </c>
    </row>
    <row r="11" spans="1:9" ht="14.5" customHeight="1">
      <c r="A11" s="184">
        <v>5</v>
      </c>
      <c r="B11" s="160" t="s">
        <v>858</v>
      </c>
    </row>
    <row r="12" spans="1:9" ht="14.5" customHeight="1">
      <c r="A12" s="184"/>
      <c r="B12" s="160" t="s">
        <v>118</v>
      </c>
    </row>
    <row r="13" spans="1:9" ht="14.5" customHeight="1">
      <c r="A13" s="184"/>
      <c r="B13" s="160" t="s">
        <v>119</v>
      </c>
      <c r="I13" s="161" t="s">
        <v>859</v>
      </c>
    </row>
    <row r="14" spans="1:9" ht="14.5" customHeight="1">
      <c r="A14" s="184">
        <v>6</v>
      </c>
      <c r="B14" s="160" t="s">
        <v>153</v>
      </c>
    </row>
    <row r="15" spans="1:9" ht="14.5" customHeight="1">
      <c r="A15" s="184"/>
      <c r="B15" s="160" t="s">
        <v>154</v>
      </c>
    </row>
    <row r="16" spans="1:9" ht="14.5" customHeight="1">
      <c r="A16" s="184"/>
      <c r="I16" s="161" t="s">
        <v>155</v>
      </c>
    </row>
    <row r="17" spans="1:9" ht="14.5" customHeight="1">
      <c r="A17" s="184">
        <v>7</v>
      </c>
      <c r="B17" s="160" t="s">
        <v>156</v>
      </c>
    </row>
    <row r="18" spans="1:9" ht="14.5" customHeight="1">
      <c r="A18" s="184"/>
      <c r="B18" s="160" t="s">
        <v>157</v>
      </c>
      <c r="I18" s="161" t="s">
        <v>860</v>
      </c>
    </row>
    <row r="19" spans="1:9" ht="14.5" customHeight="1">
      <c r="A19" s="184"/>
      <c r="B19" s="160" t="s">
        <v>158</v>
      </c>
      <c r="I19" s="161" t="s">
        <v>121</v>
      </c>
    </row>
    <row r="20" spans="1:9" ht="14.5" customHeight="1">
      <c r="A20" s="184"/>
      <c r="B20" s="160" t="s">
        <v>120</v>
      </c>
      <c r="I20" s="161"/>
    </row>
    <row r="21" spans="1:9" ht="14.5" customHeight="1">
      <c r="A21" s="184">
        <v>8</v>
      </c>
      <c r="B21" s="160" t="s">
        <v>861</v>
      </c>
    </row>
    <row r="22" spans="1:9" ht="14.5" customHeight="1">
      <c r="A22" s="184"/>
      <c r="B22" s="160" t="s">
        <v>862</v>
      </c>
      <c r="I22" s="161" t="s">
        <v>863</v>
      </c>
    </row>
    <row r="23" spans="1:9" ht="14.5" customHeight="1">
      <c r="A23" s="184"/>
      <c r="B23" s="160" t="s">
        <v>122</v>
      </c>
    </row>
    <row r="24" spans="1:9" ht="14.5" customHeight="1">
      <c r="A24" s="184"/>
      <c r="B24" s="160" t="s">
        <v>862</v>
      </c>
    </row>
    <row r="25" spans="1:9" ht="14.5" customHeight="1">
      <c r="A25" s="184">
        <v>9</v>
      </c>
      <c r="B25" s="160" t="s">
        <v>159</v>
      </c>
    </row>
    <row r="26" spans="1:9" ht="14.5" customHeight="1">
      <c r="A26" s="184"/>
      <c r="B26" s="160" t="s">
        <v>160</v>
      </c>
      <c r="I26" s="161" t="s">
        <v>864</v>
      </c>
    </row>
    <row r="27" spans="1:9" ht="14.5" customHeight="1">
      <c r="A27" s="184">
        <v>10</v>
      </c>
      <c r="B27" s="160" t="s">
        <v>161</v>
      </c>
    </row>
    <row r="28" spans="1:9" ht="14.5" customHeight="1">
      <c r="A28" s="184"/>
      <c r="B28" s="160" t="s">
        <v>865</v>
      </c>
      <c r="I28" s="161" t="s">
        <v>866</v>
      </c>
    </row>
    <row r="29" spans="1:9" ht="14.5" customHeight="1">
      <c r="A29" s="184">
        <v>11</v>
      </c>
      <c r="B29" s="160" t="s">
        <v>123</v>
      </c>
    </row>
    <row r="30" spans="1:9" ht="14.5" customHeight="1">
      <c r="A30" s="184"/>
      <c r="B30" s="160" t="s">
        <v>162</v>
      </c>
    </row>
    <row r="31" spans="1:9" ht="14.5" customHeight="1">
      <c r="A31" s="184"/>
      <c r="B31" s="160" t="s">
        <v>163</v>
      </c>
      <c r="I31" s="161" t="s">
        <v>164</v>
      </c>
    </row>
    <row r="32" spans="1:9" ht="14.5" customHeight="1">
      <c r="A32" s="184">
        <v>12</v>
      </c>
      <c r="B32" s="160" t="s">
        <v>165</v>
      </c>
    </row>
    <row r="33" spans="1:9" ht="14.5" customHeight="1">
      <c r="A33" s="184"/>
      <c r="B33" s="160" t="s">
        <v>166</v>
      </c>
      <c r="I33" s="161" t="s">
        <v>867</v>
      </c>
    </row>
    <row r="34" spans="1:9" ht="14.5" customHeight="1">
      <c r="A34" s="184">
        <v>13</v>
      </c>
      <c r="B34" s="160" t="s">
        <v>167</v>
      </c>
      <c r="C34" s="162"/>
      <c r="D34" s="162"/>
      <c r="E34" s="162"/>
      <c r="F34" s="162"/>
      <c r="G34" s="162"/>
    </row>
    <row r="35" spans="1:9" ht="14.5" customHeight="1">
      <c r="A35" s="185"/>
      <c r="B35" s="160" t="s">
        <v>168</v>
      </c>
      <c r="I35" s="161" t="s">
        <v>868</v>
      </c>
    </row>
    <row r="36" spans="1:9" ht="14.5" customHeight="1">
      <c r="A36" s="185"/>
      <c r="B36" s="160" t="s">
        <v>169</v>
      </c>
      <c r="I36" s="161"/>
    </row>
    <row r="37" spans="1:9" ht="14.5" customHeight="1">
      <c r="A37" s="185"/>
      <c r="B37" s="160" t="s">
        <v>170</v>
      </c>
      <c r="I37" s="161" t="s">
        <v>155</v>
      </c>
    </row>
    <row r="38" spans="1:9" ht="14.5" customHeight="1">
      <c r="A38" s="185"/>
      <c r="B38" s="160" t="s">
        <v>171</v>
      </c>
      <c r="I38" s="161" t="s">
        <v>860</v>
      </c>
    </row>
    <row r="39" spans="1:9" ht="14.5" customHeight="1">
      <c r="A39" s="185"/>
      <c r="B39" s="160" t="s">
        <v>172</v>
      </c>
      <c r="I39" s="161" t="s">
        <v>173</v>
      </c>
    </row>
    <row r="40" spans="1:9" ht="14.5" customHeight="1">
      <c r="A40" s="185"/>
      <c r="B40" s="160" t="s">
        <v>174</v>
      </c>
      <c r="I40" s="161" t="s">
        <v>175</v>
      </c>
    </row>
    <row r="41" spans="1:9" ht="14.5" customHeight="1">
      <c r="A41" s="185"/>
      <c r="B41" s="160" t="s">
        <v>176</v>
      </c>
    </row>
    <row r="42" spans="1:9" ht="14.5" customHeight="1">
      <c r="A42" s="185"/>
      <c r="B42" s="160" t="s">
        <v>177</v>
      </c>
    </row>
    <row r="43" spans="1:9" ht="14.5" customHeight="1">
      <c r="A43" s="184">
        <v>14</v>
      </c>
      <c r="B43" s="160" t="s">
        <v>178</v>
      </c>
    </row>
    <row r="44" spans="1:9" ht="14.5" customHeight="1">
      <c r="A44" s="185"/>
      <c r="B44" s="160" t="s">
        <v>179</v>
      </c>
      <c r="I44" s="161" t="s">
        <v>180</v>
      </c>
    </row>
    <row r="45" spans="1:9" ht="14.5" customHeight="1">
      <c r="A45" s="185"/>
      <c r="B45" s="160" t="s">
        <v>181</v>
      </c>
      <c r="I45" s="161" t="s">
        <v>117</v>
      </c>
    </row>
    <row r="46" spans="1:9" ht="14.5" customHeight="1">
      <c r="A46" s="185"/>
      <c r="B46" s="160" t="s">
        <v>232</v>
      </c>
      <c r="I46" s="161" t="s">
        <v>860</v>
      </c>
    </row>
    <row r="47" spans="1:9" ht="14.5" customHeight="1">
      <c r="A47" s="185"/>
      <c r="B47" s="160" t="s">
        <v>182</v>
      </c>
      <c r="I47" s="161" t="s">
        <v>869</v>
      </c>
    </row>
    <row r="48" spans="1:9" ht="14.5" customHeight="1">
      <c r="A48" s="185"/>
      <c r="B48" s="160" t="s">
        <v>183</v>
      </c>
      <c r="I48" s="161" t="s">
        <v>180</v>
      </c>
    </row>
    <row r="49" spans="1:9" ht="14.5" customHeight="1">
      <c r="A49" s="184">
        <v>15</v>
      </c>
      <c r="B49" s="160" t="s">
        <v>184</v>
      </c>
    </row>
    <row r="50" spans="1:9" ht="14.5" customHeight="1">
      <c r="A50" s="185"/>
      <c r="B50" s="160" t="s">
        <v>185</v>
      </c>
    </row>
    <row r="51" spans="1:9" ht="14.5" customHeight="1">
      <c r="A51" s="185"/>
      <c r="B51" s="160" t="s">
        <v>186</v>
      </c>
    </row>
    <row r="52" spans="1:9" ht="14.5" customHeight="1">
      <c r="A52" s="185"/>
      <c r="B52" s="160" t="s">
        <v>187</v>
      </c>
    </row>
    <row r="53" spans="1:9" ht="14.5" customHeight="1">
      <c r="A53" s="185"/>
      <c r="B53" s="160" t="s">
        <v>188</v>
      </c>
    </row>
    <row r="54" spans="1:9" ht="14.5" customHeight="1">
      <c r="A54" s="185"/>
      <c r="B54" s="160" t="s">
        <v>189</v>
      </c>
      <c r="I54" s="161" t="s">
        <v>152</v>
      </c>
    </row>
    <row r="55" spans="1:9" ht="14.5" customHeight="1">
      <c r="A55" s="360">
        <v>16</v>
      </c>
      <c r="B55" s="160" t="s">
        <v>870</v>
      </c>
      <c r="I55" s="161"/>
    </row>
    <row r="56" spans="1:9">
      <c r="B56" s="160" t="s">
        <v>871</v>
      </c>
    </row>
    <row r="57" spans="1:9">
      <c r="B57" s="160" t="s">
        <v>872</v>
      </c>
      <c r="I57" s="161" t="s">
        <v>152</v>
      </c>
    </row>
  </sheetData>
  <phoneticPr fontId="2"/>
  <pageMargins left="0.74803149606299213" right="0.19685039370078741" top="0.59055118110236227" bottom="0.59055118110236227" header="0.51181102362204722" footer="0.31496062992125984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48"/>
  <sheetViews>
    <sheetView zoomScale="55" zoomScaleNormal="55" workbookViewId="0">
      <selection activeCell="B423" sqref="B423:B424"/>
    </sheetView>
    <sheetView workbookViewId="1"/>
  </sheetViews>
  <sheetFormatPr defaultColWidth="8.90625" defaultRowHeight="13"/>
  <cols>
    <col min="1" max="1" width="5.453125" style="19" customWidth="1"/>
    <col min="2" max="2" width="20.08984375" style="19" customWidth="1"/>
    <col min="3" max="3" width="11.6328125" style="48" bestFit="1" customWidth="1"/>
    <col min="4" max="4" width="5.6328125" style="48" customWidth="1"/>
    <col min="5" max="5" width="8.08984375" style="19" customWidth="1"/>
    <col min="6" max="6" width="6.36328125" style="74" customWidth="1"/>
    <col min="7" max="7" width="6.08984375" style="19" customWidth="1"/>
    <col min="8" max="8" width="5.6328125" style="19" customWidth="1"/>
    <col min="9" max="9" width="8.08984375" style="19" customWidth="1"/>
    <col min="10" max="10" width="6.36328125" style="19" customWidth="1"/>
    <col min="11" max="11" width="4.36328125" style="19" customWidth="1"/>
    <col min="12" max="12" width="5.6328125" style="19" customWidth="1"/>
    <col min="13" max="13" width="8.26953125" style="19" customWidth="1"/>
    <col min="14" max="14" width="6.453125" style="19" customWidth="1"/>
    <col min="15" max="15" width="5" style="19" customWidth="1"/>
    <col min="16" max="16" width="5.6328125" style="19" customWidth="1"/>
    <col min="17" max="17" width="8.08984375" style="19" customWidth="1"/>
    <col min="18" max="18" width="6.08984375" style="19" customWidth="1"/>
    <col min="19" max="16384" width="8.90625" style="19"/>
  </cols>
  <sheetData>
    <row r="1" spans="1:19" s="22" customFormat="1" ht="14">
      <c r="B1" s="49" t="s">
        <v>70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s="22" customFormat="1" ht="14">
      <c r="B2" s="51" t="s">
        <v>50</v>
      </c>
      <c r="C2" s="50"/>
      <c r="D2" s="52"/>
      <c r="F2" s="53"/>
    </row>
    <row r="3" spans="1:19" s="22" customFormat="1" ht="14">
      <c r="B3" s="51" t="s">
        <v>71</v>
      </c>
      <c r="C3" s="50"/>
      <c r="D3" s="52"/>
      <c r="F3" s="53"/>
    </row>
    <row r="4" spans="1:19" s="22" customFormat="1" ht="14">
      <c r="C4" s="52"/>
      <c r="D4" s="52"/>
      <c r="E4" s="22" t="s">
        <v>57</v>
      </c>
      <c r="F4" s="53"/>
      <c r="I4" s="22" t="s">
        <v>126</v>
      </c>
      <c r="M4" s="22" t="s">
        <v>127</v>
      </c>
      <c r="Q4" s="22" t="s">
        <v>53</v>
      </c>
    </row>
    <row r="5" spans="1:19" s="22" customFormat="1" ht="14">
      <c r="B5" s="22" t="s">
        <v>72</v>
      </c>
      <c r="C5" s="1" t="s">
        <v>112</v>
      </c>
      <c r="D5" s="52" t="s">
        <v>52</v>
      </c>
      <c r="E5" s="79">
        <v>44660</v>
      </c>
      <c r="F5" s="52">
        <v>5</v>
      </c>
      <c r="H5" s="52" t="s">
        <v>2</v>
      </c>
      <c r="I5" s="79">
        <v>44660</v>
      </c>
      <c r="J5" s="52">
        <v>20</v>
      </c>
      <c r="L5" s="52" t="s">
        <v>130</v>
      </c>
      <c r="M5" s="79">
        <v>44661</v>
      </c>
      <c r="N5" s="52">
        <v>30</v>
      </c>
      <c r="P5" s="52" t="s">
        <v>130</v>
      </c>
      <c r="Q5" s="79">
        <v>44661</v>
      </c>
      <c r="R5" s="52">
        <v>37</v>
      </c>
    </row>
    <row r="6" spans="1:19" s="22" customFormat="1" ht="14">
      <c r="C6" s="52"/>
      <c r="D6" s="52"/>
      <c r="E6" s="22" t="s">
        <v>84</v>
      </c>
      <c r="F6" s="54">
        <f>VLOOKUP(F5,競漕日程!$A$4:$D$41,2)</f>
        <v>0.50138888888888899</v>
      </c>
      <c r="I6" s="22" t="s">
        <v>84</v>
      </c>
      <c r="J6" s="174">
        <f>VLOOKUP(J5,競漕日程!$A$4:$D$41,2)</f>
        <v>0.625</v>
      </c>
      <c r="K6" s="166"/>
      <c r="M6" s="22" t="s">
        <v>128</v>
      </c>
      <c r="N6" s="174">
        <f>VLOOKUP(N5,競漕日程!$A$4:$D$41,2)</f>
        <v>0.38611111111111102</v>
      </c>
      <c r="O6" s="180"/>
      <c r="Q6" s="104"/>
      <c r="R6" s="174">
        <f>VLOOKUP(R5,競漕日程!$A$4:$D$50,2)</f>
        <v>0.50694444444444442</v>
      </c>
      <c r="S6" s="53"/>
    </row>
    <row r="7" spans="1:19" s="22" customFormat="1" ht="14">
      <c r="A7" s="22">
        <v>27</v>
      </c>
      <c r="B7" s="401" t="str">
        <f>IF(A7="","",IF(INDEX('１×Ｍ'!$B$3:$J$45,MATCH($A7,'１×Ｍ'!$B$3:$B$45,),MATCH($B$5,'１×Ｍ'!$B$2:$J$2,))&lt;&gt;"",INDEX('１×Ｍ'!$B$3:$J$45,MATCH($A7,'１×Ｍ'!$B$3:$B$45,),MATCH($B$5,'１×Ｍ'!$B$2:$J$2,)),""))</f>
        <v>天竜高校H</v>
      </c>
      <c r="C7" s="399" t="str">
        <f>IF(A7="","",IF(INDEX('１×Ｍ'!$B$3:$J$45,MATCH($A7,'１×Ｍ'!$B$3:$B$45,),MATCH($C$5,'１×Ｍ'!$B$2:$J$2,))&lt;&gt;"",INDEX('１×Ｍ'!$B$3:$J$45,MATCH($A7,'１×Ｍ'!$B$3:$B$45,),MATCH($C$5,'１×Ｍ'!$B$2:$J$2,)),""))</f>
        <v>青嶋</v>
      </c>
      <c r="D7" s="399">
        <v>1</v>
      </c>
      <c r="E7" s="57"/>
      <c r="F7" s="57"/>
      <c r="H7" s="399"/>
      <c r="I7" s="57"/>
      <c r="J7" s="57"/>
      <c r="L7" s="399">
        <v>1</v>
      </c>
      <c r="M7" s="57"/>
      <c r="N7" s="57"/>
      <c r="P7" s="399">
        <v>1</v>
      </c>
      <c r="R7" s="175"/>
    </row>
    <row r="8" spans="1:19" s="22" customFormat="1" ht="14">
      <c r="B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8" s="399"/>
      <c r="D8" s="399"/>
      <c r="E8" s="198"/>
      <c r="F8" s="57"/>
      <c r="H8" s="399"/>
      <c r="I8" s="57"/>
      <c r="J8" s="57"/>
      <c r="L8" s="399"/>
      <c r="M8" s="61" t="s">
        <v>944</v>
      </c>
      <c r="N8" s="57"/>
      <c r="P8" s="399"/>
      <c r="Q8" s="61" t="s">
        <v>823</v>
      </c>
      <c r="R8" s="58"/>
    </row>
    <row r="9" spans="1:19" s="22" customFormat="1" ht="14">
      <c r="A9" s="22">
        <v>32</v>
      </c>
      <c r="B9" s="401" t="str">
        <f>IF(A9="","",IF(INDEX('１×Ｍ'!$B$3:$J$45,MATCH($A9,'１×Ｍ'!$B$3:$B$45,),MATCH($B$5,'１×Ｍ'!$B$2:$J$2,))&lt;&gt;"",INDEX('１×Ｍ'!$B$3:$J$45,MATCH($A9,'１×Ｍ'!$B$3:$B$45,),MATCH($B$5,'１×Ｍ'!$B$2:$J$2,)),""))</f>
        <v>浜松大平台高校C</v>
      </c>
      <c r="C9" s="399" t="str">
        <f>IF(A9="","",IF(INDEX('１×Ｍ'!$B$3:$J$45,MATCH($A9,'１×Ｍ'!$B$3:$B$45,),MATCH($C$5,'１×Ｍ'!$B$2:$J$2,))&lt;&gt;"",INDEX('１×Ｍ'!$B$3:$J$45,MATCH($A9,'１×Ｍ'!$B$3:$B$45,),MATCH($C$5,'１×Ｍ'!$B$2:$J$2,)),""))</f>
        <v>鎌田</v>
      </c>
      <c r="D9" s="399">
        <v>2</v>
      </c>
      <c r="E9" s="65"/>
      <c r="F9" s="63"/>
      <c r="H9" s="399">
        <v>2</v>
      </c>
      <c r="I9" s="357"/>
      <c r="J9" s="57"/>
      <c r="L9" s="399">
        <v>2</v>
      </c>
      <c r="M9" s="65"/>
      <c r="N9" s="63"/>
      <c r="P9" s="399">
        <v>2</v>
      </c>
      <c r="Q9" s="65"/>
      <c r="R9" s="58"/>
    </row>
    <row r="10" spans="1:19" s="22" customFormat="1" ht="14">
      <c r="B1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0" s="399"/>
      <c r="D10" s="399"/>
      <c r="E10" s="62"/>
      <c r="F10" s="63"/>
      <c r="H10" s="399"/>
      <c r="I10" s="57" t="s">
        <v>918</v>
      </c>
      <c r="J10" s="63"/>
      <c r="L10" s="399"/>
      <c r="M10" s="343" t="s">
        <v>938</v>
      </c>
      <c r="N10" s="63"/>
      <c r="P10" s="399"/>
      <c r="Q10" s="61" t="s">
        <v>822</v>
      </c>
      <c r="R10" s="58"/>
    </row>
    <row r="11" spans="1:19" s="22" customFormat="1" ht="14">
      <c r="A11" s="22">
        <v>1</v>
      </c>
      <c r="B11" s="401" t="str">
        <f>IF(A11="","",IF(INDEX('１×Ｍ'!$B$3:$J$45,MATCH($A11,'１×Ｍ'!$B$3:$B$45,),MATCH($B$5,'１×Ｍ'!$B$2:$J$2,))&lt;&gt;"",INDEX('１×Ｍ'!$B$3:$J$45,MATCH($A11,'１×Ｍ'!$B$3:$B$45,),MATCH($B$5,'１×Ｍ'!$B$2:$J$2,)),""))</f>
        <v>浜松西高校</v>
      </c>
      <c r="C11" s="399" t="str">
        <f>IF(A11="","",IF(INDEX('１×Ｍ'!$B$3:$J$45,MATCH($A11,'１×Ｍ'!$B$3:$B$45,),MATCH($C$5,'１×Ｍ'!$B$2:$J$2,))&lt;&gt;"",INDEX('１×Ｍ'!$B$3:$J$45,MATCH($A11,'１×Ｍ'!$B$3:$B$45,),MATCH($C$5,'１×Ｍ'!$B$2:$J$2,)),""))</f>
        <v>青山</v>
      </c>
      <c r="D11" s="399">
        <v>3</v>
      </c>
      <c r="E11" s="57"/>
      <c r="F11" s="63"/>
      <c r="H11" s="399">
        <v>3</v>
      </c>
      <c r="I11" s="57"/>
      <c r="J11" s="63"/>
      <c r="L11" s="399">
        <v>3</v>
      </c>
      <c r="M11" s="57"/>
      <c r="N11" s="63"/>
      <c r="P11" s="399">
        <v>3</v>
      </c>
      <c r="Q11" s="62"/>
      <c r="R11" s="60"/>
    </row>
    <row r="12" spans="1:19" s="22" customFormat="1" ht="14">
      <c r="B1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2" s="399"/>
      <c r="D12" s="399"/>
      <c r="E12" s="343"/>
      <c r="F12" s="344"/>
      <c r="H12" s="399"/>
      <c r="I12" s="61" t="s">
        <v>902</v>
      </c>
      <c r="J12" s="345"/>
      <c r="L12" s="399"/>
      <c r="M12" s="343" t="s">
        <v>134</v>
      </c>
      <c r="N12" s="344"/>
      <c r="P12" s="399"/>
      <c r="Q12" s="343" t="s">
        <v>819</v>
      </c>
      <c r="R12" s="349"/>
    </row>
    <row r="13" spans="1:19" s="22" customFormat="1" ht="14">
      <c r="A13" s="22">
        <v>11</v>
      </c>
      <c r="B13" s="401" t="str">
        <f>IF(A13="","",IF(INDEX('１×Ｍ'!$B$3:$J$45,MATCH($A13,'１×Ｍ'!$B$3:$B$45,),MATCH($B$5,'１×Ｍ'!$B$2:$J$2,))&lt;&gt;"",INDEX('１×Ｍ'!$B$3:$J$45,MATCH($A13,'１×Ｍ'!$B$3:$B$45,),MATCH($B$5,'１×Ｍ'!$B$2:$J$2,)),""))</f>
        <v>新居高校C</v>
      </c>
      <c r="C13" s="399" t="str">
        <f>IF(A13="","",IF(INDEX('１×Ｍ'!$B$3:$J$45,MATCH($A13,'１×Ｍ'!$B$3:$B$45,),MATCH($C$5,'１×Ｍ'!$B$2:$J$2,))&lt;&gt;"",INDEX('１×Ｍ'!$B$3:$J$45,MATCH($A13,'１×Ｍ'!$B$3:$B$45,),MATCH($C$5,'１×Ｍ'!$B$2:$J$2,)),""))</f>
        <v>河尻</v>
      </c>
      <c r="D13" s="399">
        <v>4</v>
      </c>
      <c r="E13" s="357"/>
      <c r="F13" s="63"/>
      <c r="H13" s="399">
        <v>4</v>
      </c>
      <c r="I13" s="65"/>
      <c r="J13" s="344"/>
      <c r="L13" s="399">
        <v>4</v>
      </c>
      <c r="M13" s="357"/>
      <c r="N13" s="345"/>
      <c r="P13" s="399">
        <v>4</v>
      </c>
      <c r="Q13" s="57"/>
      <c r="R13" s="60"/>
    </row>
    <row r="14" spans="1:19" s="22" customFormat="1" ht="14">
      <c r="B1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4" s="399"/>
      <c r="D14" s="399"/>
      <c r="E14" s="343"/>
      <c r="F14" s="63"/>
      <c r="H14" s="399"/>
      <c r="I14" s="343" t="s">
        <v>917</v>
      </c>
      <c r="J14" s="63"/>
      <c r="L14" s="399"/>
      <c r="M14" s="343" t="s">
        <v>937</v>
      </c>
      <c r="N14" s="63"/>
      <c r="P14" s="399"/>
      <c r="Q14" s="61" t="s">
        <v>820</v>
      </c>
      <c r="R14" s="60"/>
    </row>
    <row r="15" spans="1:19" s="22" customFormat="1" ht="14">
      <c r="A15" s="22">
        <v>17</v>
      </c>
      <c r="B15" s="401" t="str">
        <f>IF(A15="","",IF(INDEX('１×Ｍ'!$B$3:$J$45,MATCH($A15,'１×Ｍ'!$B$3:$B$45,),MATCH($B$5,'１×Ｍ'!$B$2:$J$2,))&lt;&gt;"",INDEX('１×Ｍ'!$B$3:$J$45,MATCH($A15,'１×Ｍ'!$B$3:$B$45,),MATCH($B$5,'１×Ｍ'!$B$2:$J$2,)),""))</f>
        <v>新居高校I</v>
      </c>
      <c r="C15" s="399" t="str">
        <f>IF(A15="","",IF(INDEX('１×Ｍ'!$B$3:$J$45,MATCH($A15,'１×Ｍ'!$B$3:$B$45,),MATCH($C$5,'１×Ｍ'!$B$2:$J$2,))&lt;&gt;"",INDEX('１×Ｍ'!$B$3:$J$45,MATCH($A15,'１×Ｍ'!$B$3:$B$45,),MATCH($C$5,'１×Ｍ'!$B$2:$J$2,)),""))</f>
        <v>原</v>
      </c>
      <c r="D15" s="399">
        <v>5</v>
      </c>
      <c r="E15" s="57"/>
      <c r="F15" s="63"/>
      <c r="H15" s="399">
        <v>5</v>
      </c>
      <c r="I15" s="62"/>
      <c r="J15" s="63"/>
      <c r="L15" s="399">
        <v>5</v>
      </c>
      <c r="M15" s="357"/>
      <c r="N15" s="63"/>
      <c r="P15" s="399">
        <v>5</v>
      </c>
      <c r="Q15" s="65"/>
      <c r="R15" s="175"/>
    </row>
    <row r="16" spans="1:19" s="22" customFormat="1" ht="14">
      <c r="B1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6" s="399"/>
      <c r="D16" s="399"/>
      <c r="E16" s="343"/>
      <c r="F16" s="57"/>
      <c r="H16" s="399"/>
      <c r="I16" s="343" t="s">
        <v>933</v>
      </c>
      <c r="J16" s="57"/>
      <c r="L16" s="399"/>
      <c r="M16" s="343" t="s">
        <v>943</v>
      </c>
      <c r="N16" s="63"/>
      <c r="P16" s="399"/>
      <c r="Q16" s="342" t="s">
        <v>821</v>
      </c>
      <c r="R16" s="175"/>
    </row>
    <row r="17" spans="1:18" s="22" customFormat="1" ht="14">
      <c r="B17" s="401" t="str">
        <f>IF(A17="","",IF(INDEX('１×Ｍ'!$B$3:$J$45,MATCH($A17,'１×Ｍ'!$B$3:$B$45,),MATCH($B$5,'１×Ｍ'!$B$2:$J$2,))&lt;&gt;"",INDEX('１×Ｍ'!$B$3:$J$45,MATCH($A17,'１×Ｍ'!$B$3:$B$45,),MATCH($B$5,'１×Ｍ'!$B$2:$J$2,)),""))</f>
        <v/>
      </c>
      <c r="C17" s="399" t="str">
        <f>IF(A17="","",IF(INDEX('１×Ｍ'!$B$3:$J$45,MATCH($A17,'１×Ｍ'!$B$3:$B$45,),MATCH($C$5,'１×Ｍ'!$B$2:$J$2,))&lt;&gt;"",INDEX('１×Ｍ'!$B$3:$J$45,MATCH($A17,'１×Ｍ'!$B$3:$B$45,),MATCH($C$5,'１×Ｍ'!$B$2:$J$2,)),""))</f>
        <v/>
      </c>
      <c r="D17" s="399"/>
      <c r="E17" s="57"/>
      <c r="H17" s="399"/>
      <c r="I17" s="57"/>
      <c r="L17" s="399">
        <v>6</v>
      </c>
      <c r="M17" s="65"/>
      <c r="P17" s="399">
        <v>6</v>
      </c>
      <c r="Q17" s="358"/>
      <c r="R17" s="175"/>
    </row>
    <row r="18" spans="1:18" s="22" customFormat="1" ht="14">
      <c r="B1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8" s="399"/>
      <c r="D18" s="399"/>
      <c r="H18" s="399"/>
      <c r="L18" s="399"/>
      <c r="M18" s="343" t="s">
        <v>949</v>
      </c>
      <c r="N18" s="57"/>
      <c r="P18" s="399"/>
      <c r="Q18" s="57" t="s">
        <v>824</v>
      </c>
      <c r="R18" s="175"/>
    </row>
    <row r="19" spans="1:18" s="22" customFormat="1" ht="14">
      <c r="C19" s="52"/>
      <c r="D19" s="52"/>
      <c r="F19" s="66">
        <f>F5+1</f>
        <v>6</v>
      </c>
      <c r="H19" s="165"/>
      <c r="J19" s="66">
        <f>J5+1</f>
        <v>21</v>
      </c>
      <c r="K19" s="170"/>
      <c r="N19" s="66">
        <f>N5+1</f>
        <v>31</v>
      </c>
      <c r="P19" s="57"/>
      <c r="Q19" s="57"/>
      <c r="R19" s="105"/>
    </row>
    <row r="20" spans="1:18" s="22" customFormat="1" ht="14">
      <c r="C20" s="52"/>
      <c r="D20" s="52"/>
      <c r="E20" s="22" t="s">
        <v>85</v>
      </c>
      <c r="F20" s="174">
        <f>VLOOKUP(F19,競漕日程!$A$4:$D$41,2)</f>
        <v>0.50694444444444398</v>
      </c>
      <c r="H20" s="170"/>
      <c r="I20" s="22" t="s">
        <v>85</v>
      </c>
      <c r="J20" s="174">
        <f>VLOOKUP(J19,競漕日程!$A$4:$D$41,2)</f>
        <v>0.63055555555555498</v>
      </c>
      <c r="K20" s="166"/>
      <c r="M20" s="22" t="s">
        <v>129</v>
      </c>
      <c r="N20" s="174">
        <f>VLOOKUP(N19,競漕日程!$A$4:$D$41,2)</f>
        <v>0.391666666666667</v>
      </c>
      <c r="O20" s="175"/>
      <c r="P20" s="57"/>
      <c r="Q20" s="55"/>
      <c r="R20" s="69"/>
    </row>
    <row r="21" spans="1:18" s="22" customFormat="1" ht="14">
      <c r="A21" s="22">
        <v>18</v>
      </c>
      <c r="B21" s="401" t="str">
        <f>IF(A21="","",IF(INDEX('１×Ｍ'!$B$3:$J$45,MATCH($A21,'１×Ｍ'!$B$3:$B$45,),MATCH($B$5,'１×Ｍ'!$B$2:$J$2,))&lt;&gt;"",INDEX('１×Ｍ'!$B$3:$J$45,MATCH($A21,'１×Ｍ'!$B$3:$B$45,),MATCH($B$5,'１×Ｍ'!$B$2:$J$2,)),""))</f>
        <v>新居高校J</v>
      </c>
      <c r="C21" s="399" t="str">
        <f>IF(A21="","",IF(INDEX('１×Ｍ'!$B$3:$J$45,MATCH($A21,'１×Ｍ'!$B$3:$B$45,),MATCH($C$5,'１×Ｍ'!$B$2:$J$2,))&lt;&gt;"",INDEX('１×Ｍ'!$B$3:$J$45,MATCH($A21,'１×Ｍ'!$B$3:$B$45,),MATCH($C$5,'１×Ｍ'!$B$2:$J$2,)),""))</f>
        <v>魚住</v>
      </c>
      <c r="D21" s="399">
        <v>1</v>
      </c>
      <c r="E21" s="57"/>
      <c r="F21" s="57"/>
      <c r="H21" s="399"/>
      <c r="I21" s="57"/>
      <c r="J21" s="57"/>
      <c r="L21" s="399">
        <v>1</v>
      </c>
      <c r="M21" s="57"/>
      <c r="N21" s="57"/>
      <c r="P21" s="352"/>
      <c r="Q21" s="57"/>
      <c r="R21" s="58"/>
    </row>
    <row r="22" spans="1:18" s="22" customFormat="1" ht="14">
      <c r="B2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22" s="399"/>
      <c r="D22" s="399"/>
      <c r="E22" s="198"/>
      <c r="F22" s="57"/>
      <c r="H22" s="399"/>
      <c r="I22" s="57"/>
      <c r="J22" s="57"/>
      <c r="L22" s="399"/>
      <c r="M22" s="61" t="s">
        <v>945</v>
      </c>
      <c r="N22" s="57"/>
      <c r="P22" s="352"/>
      <c r="Q22" s="57"/>
      <c r="R22" s="58"/>
    </row>
    <row r="23" spans="1:18" s="22" customFormat="1" ht="14">
      <c r="A23" s="22">
        <v>22</v>
      </c>
      <c r="B23" s="401" t="str">
        <f>IF(A23="","",IF(INDEX('１×Ｍ'!$B$3:$J$45,MATCH($A23,'１×Ｍ'!$B$3:$B$45,),MATCH($B$5,'１×Ｍ'!$B$2:$J$2,))&lt;&gt;"",INDEX('１×Ｍ'!$B$3:$J$45,MATCH($A23,'１×Ｍ'!$B$3:$B$45,),MATCH($B$5,'１×Ｍ'!$B$2:$J$2,)),""))</f>
        <v>天竜高校C</v>
      </c>
      <c r="C23" s="399" t="str">
        <f>IF(A23="","",IF(INDEX('１×Ｍ'!$B$3:$J$45,MATCH($A23,'１×Ｍ'!$B$3:$B$45,),MATCH($C$5,'１×Ｍ'!$B$2:$J$2,))&lt;&gt;"",INDEX('１×Ｍ'!$B$3:$J$45,MATCH($A23,'１×Ｍ'!$B$3:$B$45,),MATCH($C$5,'１×Ｍ'!$B$2:$J$2,)),""))</f>
        <v>鈴木</v>
      </c>
      <c r="D23" s="399">
        <v>2</v>
      </c>
      <c r="E23" s="65"/>
      <c r="F23" s="63"/>
      <c r="H23" s="399">
        <v>2</v>
      </c>
      <c r="I23" s="357"/>
      <c r="J23" s="57"/>
      <c r="L23" s="399">
        <v>2</v>
      </c>
      <c r="M23" s="65"/>
      <c r="N23" s="63"/>
      <c r="P23" s="400"/>
      <c r="Q23" s="57"/>
      <c r="R23" s="58"/>
    </row>
    <row r="24" spans="1:18" s="22" customFormat="1" ht="14">
      <c r="B2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24" s="399"/>
      <c r="D24" s="399"/>
      <c r="E24" s="62"/>
      <c r="F24" s="63"/>
      <c r="H24" s="399"/>
      <c r="I24" s="57" t="s">
        <v>919</v>
      </c>
      <c r="J24" s="63"/>
      <c r="L24" s="399"/>
      <c r="M24" s="61" t="s">
        <v>939</v>
      </c>
      <c r="N24" s="63"/>
      <c r="P24" s="400"/>
      <c r="Q24" s="57"/>
      <c r="R24" s="58"/>
    </row>
    <row r="25" spans="1:18" s="22" customFormat="1" ht="14">
      <c r="A25" s="22">
        <v>2</v>
      </c>
      <c r="B25" s="401" t="str">
        <f>IF(A25="","",IF(INDEX('１×Ｍ'!$B$3:$J$45,MATCH($A25,'１×Ｍ'!$B$3:$B$45,),MATCH($B$5,'１×Ｍ'!$B$2:$J$2,))&lt;&gt;"",INDEX('１×Ｍ'!$B$3:$J$45,MATCH($A25,'１×Ｍ'!$B$3:$B$45,),MATCH($B$5,'１×Ｍ'!$B$2:$J$2,)),""))</f>
        <v>沼津工業高校A</v>
      </c>
      <c r="C25" s="399" t="str">
        <f>IF(A25="","",IF(INDEX('１×Ｍ'!$B$3:$J$45,MATCH($A25,'１×Ｍ'!$B$3:$B$45,),MATCH($C$5,'１×Ｍ'!$B$2:$J$2,))&lt;&gt;"",INDEX('１×Ｍ'!$B$3:$J$45,MATCH($A25,'１×Ｍ'!$B$3:$B$45,),MATCH($C$5,'１×Ｍ'!$B$2:$J$2,)),""))</f>
        <v>佐々木</v>
      </c>
      <c r="D25" s="399">
        <v>3</v>
      </c>
      <c r="E25" s="57"/>
      <c r="F25" s="63"/>
      <c r="H25" s="399">
        <v>3</v>
      </c>
      <c r="I25" s="57"/>
      <c r="J25" s="63"/>
      <c r="L25" s="399">
        <v>3</v>
      </c>
      <c r="M25" s="57"/>
      <c r="N25" s="63"/>
      <c r="P25" s="400"/>
      <c r="Q25" s="57"/>
      <c r="R25" s="57"/>
    </row>
    <row r="26" spans="1:18" s="22" customFormat="1" ht="14">
      <c r="B2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26" s="399"/>
      <c r="D26" s="399"/>
      <c r="E26" s="343"/>
      <c r="F26" s="344"/>
      <c r="H26" s="399"/>
      <c r="I26" s="61" t="s">
        <v>903</v>
      </c>
      <c r="J26" s="345"/>
      <c r="L26" s="399"/>
      <c r="M26" s="61" t="s">
        <v>135</v>
      </c>
      <c r="N26" s="344"/>
      <c r="P26" s="400"/>
      <c r="Q26" s="57"/>
      <c r="R26" s="57"/>
    </row>
    <row r="27" spans="1:18" s="22" customFormat="1" ht="14">
      <c r="A27" s="22">
        <v>8</v>
      </c>
      <c r="B27" s="401" t="str">
        <f>IF(A27="","",IF(INDEX('１×Ｍ'!$B$3:$J$45,MATCH($A27,'１×Ｍ'!$B$3:$B$45,),MATCH($B$5,'１×Ｍ'!$B$2:$J$2,))&lt;&gt;"",INDEX('１×Ｍ'!$B$3:$J$45,MATCH($A27,'１×Ｍ'!$B$3:$B$45,),MATCH($B$5,'１×Ｍ'!$B$2:$J$2,)),""))</f>
        <v>湖西高校C</v>
      </c>
      <c r="C27" s="399" t="str">
        <f>IF(A27="","",IF(INDEX('１×Ｍ'!$B$3:$J$45,MATCH($A27,'１×Ｍ'!$B$3:$B$45,),MATCH($C$5,'１×Ｍ'!$B$2:$J$2,))&lt;&gt;"",INDEX('１×Ｍ'!$B$3:$J$45,MATCH($A27,'１×Ｍ'!$B$3:$B$45,),MATCH($C$5,'１×Ｍ'!$B$2:$J$2,)),""))</f>
        <v>中村</v>
      </c>
      <c r="D27" s="399">
        <v>4</v>
      </c>
      <c r="E27" s="357"/>
      <c r="F27" s="63"/>
      <c r="H27" s="399">
        <v>4</v>
      </c>
      <c r="I27" s="65"/>
      <c r="J27" s="344"/>
      <c r="L27" s="399">
        <v>4</v>
      </c>
      <c r="M27" s="65"/>
      <c r="N27" s="345"/>
      <c r="P27" s="400"/>
      <c r="Q27" s="57"/>
      <c r="R27" s="57"/>
    </row>
    <row r="28" spans="1:18" s="22" customFormat="1" ht="14">
      <c r="B2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28" s="399"/>
      <c r="D28" s="399"/>
      <c r="E28" s="343"/>
      <c r="F28" s="63"/>
      <c r="H28" s="399"/>
      <c r="I28" s="343" t="s">
        <v>916</v>
      </c>
      <c r="J28" s="63"/>
      <c r="L28" s="399"/>
      <c r="M28" s="61" t="s">
        <v>936</v>
      </c>
      <c r="N28" s="63"/>
      <c r="P28" s="400"/>
      <c r="Q28" s="57"/>
      <c r="R28" s="57"/>
    </row>
    <row r="29" spans="1:18" s="22" customFormat="1" ht="14">
      <c r="A29" s="22">
        <v>16</v>
      </c>
      <c r="B29" s="401" t="str">
        <f>IF(A29="","",IF(INDEX('１×Ｍ'!$B$3:$J$45,MATCH($A29,'１×Ｍ'!$B$3:$B$45,),MATCH($B$5,'１×Ｍ'!$B$2:$J$2,))&lt;&gt;"",INDEX('１×Ｍ'!$B$3:$J$45,MATCH($A29,'１×Ｍ'!$B$3:$B$45,),MATCH($B$5,'１×Ｍ'!$B$2:$J$2,)),""))</f>
        <v>新居高校H</v>
      </c>
      <c r="C29" s="399" t="str">
        <f>IF(A29="","",IF(INDEX('１×Ｍ'!$B$3:$J$45,MATCH($A29,'１×Ｍ'!$B$3:$B$45,),MATCH($C$5,'１×Ｍ'!$B$2:$J$2,))&lt;&gt;"",INDEX('１×Ｍ'!$B$3:$J$45,MATCH($A29,'１×Ｍ'!$B$3:$B$45,),MATCH($C$5,'１×Ｍ'!$B$2:$J$2,)),""))</f>
        <v>安川</v>
      </c>
      <c r="D29" s="399">
        <v>5</v>
      </c>
      <c r="E29" s="57"/>
      <c r="F29" s="63"/>
      <c r="H29" s="399">
        <v>5</v>
      </c>
      <c r="I29" s="62"/>
      <c r="J29" s="63"/>
      <c r="L29" s="399">
        <v>5</v>
      </c>
      <c r="M29" s="65"/>
      <c r="N29" s="63"/>
      <c r="P29" s="400"/>
      <c r="Q29" s="57"/>
      <c r="R29" s="57"/>
    </row>
    <row r="30" spans="1:18" s="22" customFormat="1" ht="14">
      <c r="B3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30" s="399"/>
      <c r="D30" s="399"/>
      <c r="E30" s="343"/>
      <c r="F30" s="57"/>
      <c r="H30" s="399"/>
      <c r="I30" s="343" t="s">
        <v>932</v>
      </c>
      <c r="J30" s="57"/>
      <c r="L30" s="399"/>
      <c r="M30" s="61" t="s">
        <v>942</v>
      </c>
      <c r="N30" s="63"/>
      <c r="P30" s="400"/>
      <c r="Q30" s="57"/>
      <c r="R30" s="57"/>
    </row>
    <row r="31" spans="1:18" s="22" customFormat="1" ht="14">
      <c r="B31" s="401" t="str">
        <f>IF(A31="","",IF(INDEX('１×Ｍ'!$B$3:$J$45,MATCH($A31,'１×Ｍ'!$B$3:$B$45,),MATCH($B$5,'１×Ｍ'!$B$2:$J$2,))&lt;&gt;"",INDEX('１×Ｍ'!$B$3:$J$45,MATCH($A31,'１×Ｍ'!$B$3:$B$45,),MATCH($B$5,'１×Ｍ'!$B$2:$J$2,)),""))</f>
        <v/>
      </c>
      <c r="C31" s="399" t="str">
        <f>IF(A31="","",IF(INDEX('１×Ｍ'!$B$3:$J$45,MATCH($A31,'１×Ｍ'!$B$3:$B$45,),MATCH($C$5,'１×Ｍ'!$B$2:$J$2,))&lt;&gt;"",INDEX('１×Ｍ'!$B$3:$J$45,MATCH($A31,'１×Ｍ'!$B$3:$B$45,),MATCH($C$5,'１×Ｍ'!$B$2:$J$2,)),""))</f>
        <v/>
      </c>
      <c r="D31" s="399"/>
      <c r="E31" s="57"/>
      <c r="H31" s="399"/>
      <c r="I31" s="57"/>
      <c r="L31" s="399">
        <v>6</v>
      </c>
      <c r="M31" s="65"/>
      <c r="P31" s="352"/>
      <c r="Q31" s="57"/>
      <c r="R31" s="57"/>
    </row>
    <row r="32" spans="1:18" s="22" customFormat="1" ht="14">
      <c r="B3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32" s="399"/>
      <c r="D32" s="399"/>
      <c r="H32" s="399"/>
      <c r="L32" s="399"/>
      <c r="M32" s="22" t="s">
        <v>948</v>
      </c>
      <c r="P32" s="164"/>
      <c r="Q32" s="57"/>
      <c r="R32" s="57"/>
    </row>
    <row r="33" spans="1:19" s="22" customFormat="1" ht="14">
      <c r="C33" s="52"/>
      <c r="D33" s="52"/>
      <c r="F33" s="66">
        <f>F19+1</f>
        <v>7</v>
      </c>
      <c r="H33" s="165"/>
      <c r="J33" s="66">
        <f>J19+1</f>
        <v>22</v>
      </c>
      <c r="K33" s="170"/>
      <c r="N33" s="66">
        <f>N19+1</f>
        <v>32</v>
      </c>
      <c r="P33" s="57"/>
      <c r="Q33" s="57"/>
      <c r="R33" s="105"/>
    </row>
    <row r="34" spans="1:19" s="22" customFormat="1" ht="14">
      <c r="C34" s="52"/>
      <c r="D34" s="52"/>
      <c r="E34" s="22" t="s">
        <v>86</v>
      </c>
      <c r="F34" s="174">
        <f>VLOOKUP(F33,競漕日程!$A$4:$D$41,2)</f>
        <v>0.51249999999999996</v>
      </c>
      <c r="H34" s="170"/>
      <c r="I34" s="22" t="s">
        <v>86</v>
      </c>
      <c r="J34" s="174">
        <f>VLOOKUP(J33,競漕日程!$A$4:$D$41,2)</f>
        <v>0.63611111111111096</v>
      </c>
      <c r="K34" s="166"/>
      <c r="M34" s="22" t="s">
        <v>129</v>
      </c>
      <c r="N34" s="174">
        <f>VLOOKUP(N33,競漕日程!$A$4:$D$41,2)</f>
        <v>0.39722222222222198</v>
      </c>
      <c r="O34" s="175"/>
      <c r="P34" s="57"/>
      <c r="Q34" s="55"/>
      <c r="R34" s="69"/>
    </row>
    <row r="35" spans="1:19" s="22" customFormat="1" ht="14">
      <c r="B35" s="401" t="str">
        <f>IF(A35="","",IF(INDEX('１×Ｍ'!$B$3:$J$45,MATCH($A35,'１×Ｍ'!$B$3:$B$45,),MATCH($B$5,'１×Ｍ'!$B$2:$J$2,))&lt;&gt;"",INDEX('１×Ｍ'!$B$3:$J$45,MATCH($A35,'１×Ｍ'!$B$3:$B$45,),MATCH($B$5,'１×Ｍ'!$B$2:$J$2,)),""))</f>
        <v/>
      </c>
      <c r="C35" s="399" t="str">
        <f>IF(A35="","",IF(INDEX('１×Ｍ'!$B$3:$J$45,MATCH($A35,'１×Ｍ'!$B$3:$B$45,),MATCH($C$5,'１×Ｍ'!$B$2:$J$2,))&lt;&gt;"",INDEX('１×Ｍ'!$B$3:$J$45,MATCH($A35,'１×Ｍ'!$B$3:$B$45,),MATCH($C$5,'１×Ｍ'!$B$2:$J$2,)),""))</f>
        <v/>
      </c>
      <c r="D35" s="399"/>
      <c r="E35" s="57"/>
      <c r="F35" s="57"/>
      <c r="H35" s="399"/>
      <c r="I35" s="57"/>
      <c r="J35" s="57"/>
      <c r="L35" s="399">
        <v>1</v>
      </c>
      <c r="M35" s="57"/>
      <c r="N35" s="57"/>
      <c r="P35" s="164"/>
      <c r="Q35" s="57"/>
      <c r="R35" s="58"/>
    </row>
    <row r="36" spans="1:19" s="22" customFormat="1" ht="14">
      <c r="B3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36" s="399"/>
      <c r="D36" s="399"/>
      <c r="E36" s="57"/>
      <c r="F36" s="57"/>
      <c r="H36" s="399"/>
      <c r="I36" s="57"/>
      <c r="J36" s="57"/>
      <c r="L36" s="399"/>
      <c r="M36" s="61" t="s">
        <v>946</v>
      </c>
      <c r="N36" s="57"/>
      <c r="P36" s="164"/>
      <c r="Q36" s="57"/>
      <c r="R36" s="58"/>
    </row>
    <row r="37" spans="1:19" s="22" customFormat="1" ht="14">
      <c r="A37" s="22">
        <v>36</v>
      </c>
      <c r="B37" s="401" t="str">
        <f>IF(A37="","",IF(INDEX('１×Ｍ'!$B$3:$J$45,MATCH($A37,'１×Ｍ'!$B$3:$B$45,),MATCH($B$5,'１×Ｍ'!$B$2:$J$2,))&lt;&gt;"",INDEX('１×Ｍ'!$B$3:$J$45,MATCH($A37,'１×Ｍ'!$B$3:$B$45,),MATCH($B$5,'１×Ｍ'!$B$2:$J$2,)),""))</f>
        <v>浜松湖南高校C</v>
      </c>
      <c r="C37" s="399" t="str">
        <f>IF(A37="","",IF(INDEX('１×Ｍ'!$B$3:$J$45,MATCH($A37,'１×Ｍ'!$B$3:$B$45,),MATCH($C$5,'１×Ｍ'!$B$2:$J$2,))&lt;&gt;"",INDEX('１×Ｍ'!$B$3:$J$45,MATCH($A37,'１×Ｍ'!$B$3:$B$45,),MATCH($C$5,'１×Ｍ'!$B$2:$J$2,)),""))</f>
        <v>渥美</v>
      </c>
      <c r="D37" s="399">
        <v>2</v>
      </c>
      <c r="E37" s="357"/>
      <c r="F37" s="57"/>
      <c r="H37" s="399">
        <v>2</v>
      </c>
      <c r="I37" s="357"/>
      <c r="J37" s="57"/>
      <c r="L37" s="399">
        <v>2</v>
      </c>
      <c r="M37" s="65"/>
      <c r="N37" s="63"/>
      <c r="P37" s="164"/>
      <c r="Q37" s="57"/>
      <c r="R37" s="58"/>
    </row>
    <row r="38" spans="1:19" s="22" customFormat="1" ht="14">
      <c r="B3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38" s="399"/>
      <c r="D38" s="399"/>
      <c r="E38" s="57"/>
      <c r="F38" s="63"/>
      <c r="H38" s="399"/>
      <c r="I38" s="57" t="s">
        <v>920</v>
      </c>
      <c r="J38" s="63"/>
      <c r="L38" s="399"/>
      <c r="M38" s="61" t="s">
        <v>940</v>
      </c>
      <c r="N38" s="63"/>
      <c r="P38" s="164"/>
      <c r="Q38" s="57"/>
      <c r="R38" s="58"/>
    </row>
    <row r="39" spans="1:19" s="22" customFormat="1" ht="14">
      <c r="A39" s="22">
        <v>6</v>
      </c>
      <c r="B39" s="401" t="str">
        <f>IF(A39="","",IF(INDEX('１×Ｍ'!$B$3:$J$45,MATCH($A39,'１×Ｍ'!$B$3:$B$45,),MATCH($B$5,'１×Ｍ'!$B$2:$J$2,))&lt;&gt;"",INDEX('１×Ｍ'!$B$3:$J$45,MATCH($A39,'１×Ｍ'!$B$3:$B$45,),MATCH($B$5,'１×Ｍ'!$B$2:$J$2,)),""))</f>
        <v>湖西高校A</v>
      </c>
      <c r="C39" s="399" t="str">
        <f>IF(A39="","",IF(INDEX('１×Ｍ'!$B$3:$J$45,MATCH($A39,'１×Ｍ'!$B$3:$B$45,),MATCH($C$5,'１×Ｍ'!$B$2:$J$2,))&lt;&gt;"",INDEX('１×Ｍ'!$B$3:$J$45,MATCH($A39,'１×Ｍ'!$B$3:$B$45,),MATCH($C$5,'１×Ｍ'!$B$2:$J$2,)),""))</f>
        <v>石田</v>
      </c>
      <c r="D39" s="399">
        <v>3</v>
      </c>
      <c r="E39" s="57"/>
      <c r="F39" s="63"/>
      <c r="H39" s="399">
        <v>3</v>
      </c>
      <c r="I39" s="57"/>
      <c r="J39" s="63"/>
      <c r="L39" s="399">
        <v>3</v>
      </c>
      <c r="M39" s="57"/>
      <c r="N39" s="63"/>
      <c r="P39" s="164"/>
      <c r="Q39" s="57"/>
      <c r="R39" s="57"/>
    </row>
    <row r="40" spans="1:19" s="22" customFormat="1" ht="14">
      <c r="B4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40" s="399"/>
      <c r="D40" s="399"/>
      <c r="E40" s="61"/>
      <c r="F40" s="345"/>
      <c r="H40" s="399"/>
      <c r="I40" s="61" t="s">
        <v>904</v>
      </c>
      <c r="J40" s="345"/>
      <c r="L40" s="399"/>
      <c r="M40" s="61" t="s">
        <v>934</v>
      </c>
      <c r="N40" s="344"/>
      <c r="P40" s="164"/>
      <c r="Q40" s="57"/>
      <c r="R40" s="57"/>
    </row>
    <row r="41" spans="1:19" s="22" customFormat="1" ht="14">
      <c r="A41" s="22">
        <v>4</v>
      </c>
      <c r="B41" s="401" t="str">
        <f>IF(A41="","",IF(INDEX('１×Ｍ'!$B$3:$J$45,MATCH($A41,'１×Ｍ'!$B$3:$B$45,),MATCH($B$5,'１×Ｍ'!$B$2:$J$2,))&lt;&gt;"",INDEX('１×Ｍ'!$B$3:$J$45,MATCH($A41,'１×Ｍ'!$B$3:$B$45,),MATCH($B$5,'１×Ｍ'!$B$2:$J$2,)),""))</f>
        <v>沼津工業高校C</v>
      </c>
      <c r="C41" s="399" t="str">
        <f>IF(A41="","",IF(INDEX('１×Ｍ'!$B$3:$J$45,MATCH($A41,'１×Ｍ'!$B$3:$B$45,),MATCH($C$5,'１×Ｍ'!$B$2:$J$2,))&lt;&gt;"",INDEX('１×Ｍ'!$B$3:$J$45,MATCH($A41,'１×Ｍ'!$B$3:$B$45,),MATCH($C$5,'１×Ｍ'!$B$2:$J$2,)),""))</f>
        <v>小坂</v>
      </c>
      <c r="D41" s="399">
        <v>4</v>
      </c>
      <c r="E41" s="65"/>
      <c r="F41" s="344"/>
      <c r="H41" s="399">
        <v>4</v>
      </c>
      <c r="I41" s="65"/>
      <c r="J41" s="344"/>
      <c r="L41" s="399">
        <v>4</v>
      </c>
      <c r="M41" s="65"/>
      <c r="N41" s="345"/>
      <c r="P41" s="164"/>
      <c r="Q41" s="57"/>
      <c r="R41" s="57"/>
    </row>
    <row r="42" spans="1:19" s="22" customFormat="1" ht="14">
      <c r="B4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42" s="399"/>
      <c r="D42" s="399"/>
      <c r="E42" s="343"/>
      <c r="F42" s="63"/>
      <c r="H42" s="399"/>
      <c r="I42" s="343" t="s">
        <v>915</v>
      </c>
      <c r="J42" s="63"/>
      <c r="L42" s="399"/>
      <c r="M42" s="61" t="s">
        <v>935</v>
      </c>
      <c r="N42" s="63"/>
      <c r="P42" s="164"/>
      <c r="Q42" s="57"/>
      <c r="R42" s="57"/>
      <c r="S42" s="53"/>
    </row>
    <row r="43" spans="1:19" s="22" customFormat="1" ht="14">
      <c r="A43" s="22">
        <v>15</v>
      </c>
      <c r="B43" s="401" t="str">
        <f>IF(A43="","",IF(INDEX('１×Ｍ'!$B$3:$J$45,MATCH($A43,'１×Ｍ'!$B$3:$B$45,),MATCH($B$5,'１×Ｍ'!$B$2:$J$2,))&lt;&gt;"",INDEX('１×Ｍ'!$B$3:$J$45,MATCH($A43,'１×Ｍ'!$B$3:$B$45,),MATCH($B$5,'１×Ｍ'!$B$2:$J$2,)),""))</f>
        <v>新居高校G</v>
      </c>
      <c r="C43" s="399" t="str">
        <f>IF(A43="","",IF(INDEX('１×Ｍ'!$B$3:$J$45,MATCH($A43,'１×Ｍ'!$B$3:$B$45,),MATCH($C$5,'１×Ｍ'!$B$2:$J$2,))&lt;&gt;"",INDEX('１×Ｍ'!$B$3:$J$45,MATCH($A43,'１×Ｍ'!$B$3:$B$45,),MATCH($C$5,'１×Ｍ'!$B$2:$J$2,)),""))</f>
        <v>大野</v>
      </c>
      <c r="D43" s="399">
        <v>5</v>
      </c>
      <c r="E43" s="62"/>
      <c r="F43" s="63"/>
      <c r="H43" s="399">
        <v>5</v>
      </c>
      <c r="I43" s="62"/>
      <c r="J43" s="63"/>
      <c r="L43" s="399">
        <v>5</v>
      </c>
      <c r="M43" s="65"/>
      <c r="N43" s="63"/>
      <c r="P43" s="164"/>
      <c r="Q43" s="57"/>
      <c r="R43" s="57"/>
    </row>
    <row r="44" spans="1:19" s="22" customFormat="1" ht="14">
      <c r="B4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44" s="399"/>
      <c r="D44" s="399"/>
      <c r="E44" s="343"/>
      <c r="F44" s="57"/>
      <c r="H44" s="399"/>
      <c r="I44" s="343" t="s">
        <v>931</v>
      </c>
      <c r="J44" s="57"/>
      <c r="L44" s="399"/>
      <c r="M44" s="61" t="s">
        <v>941</v>
      </c>
      <c r="N44" s="63"/>
      <c r="P44" s="164"/>
      <c r="Q44" s="57"/>
      <c r="R44" s="57"/>
    </row>
    <row r="45" spans="1:19" s="22" customFormat="1" ht="14">
      <c r="B45" s="401" t="str">
        <f>IF(A45="","",IF(INDEX('１×Ｍ'!$B$3:$J$45,MATCH($A45,'１×Ｍ'!$B$3:$B$45,),MATCH($B$5,'１×Ｍ'!$B$2:$J$2,))&lt;&gt;"",INDEX('１×Ｍ'!$B$3:$J$45,MATCH($A45,'１×Ｍ'!$B$3:$B$45,),MATCH($B$5,'１×Ｍ'!$B$2:$J$2,)),""))</f>
        <v/>
      </c>
      <c r="C45" s="399" t="str">
        <f>IF(A45="","",IF(INDEX('１×Ｍ'!$B$3:$J$45,MATCH($A45,'１×Ｍ'!$B$3:$B$45,),MATCH($C$5,'１×Ｍ'!$B$2:$J$2,))&lt;&gt;"",INDEX('１×Ｍ'!$B$3:$J$45,MATCH($A45,'１×Ｍ'!$B$3:$B$45,),MATCH($C$5,'１×Ｍ'!$B$2:$J$2,)),""))</f>
        <v/>
      </c>
      <c r="D45" s="399"/>
      <c r="E45" s="57"/>
      <c r="H45" s="399"/>
      <c r="I45" s="57"/>
      <c r="L45" s="399">
        <v>6</v>
      </c>
      <c r="M45" s="65"/>
      <c r="P45" s="164"/>
      <c r="Q45" s="57"/>
      <c r="R45" s="57"/>
    </row>
    <row r="46" spans="1:19" s="22" customFormat="1" ht="14">
      <c r="B4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46" s="399"/>
      <c r="D46" s="399"/>
      <c r="H46" s="399"/>
      <c r="L46" s="399"/>
      <c r="M46" s="22" t="s">
        <v>947</v>
      </c>
      <c r="P46" s="164"/>
      <c r="Q46" s="57"/>
      <c r="R46" s="57"/>
    </row>
    <row r="47" spans="1:19" s="22" customFormat="1" ht="14">
      <c r="C47" s="52"/>
      <c r="D47" s="52"/>
      <c r="F47" s="66">
        <f>F33+1</f>
        <v>8</v>
      </c>
      <c r="H47" s="172"/>
      <c r="J47" s="66">
        <f>J33+1</f>
        <v>23</v>
      </c>
      <c r="K47" s="55"/>
      <c r="L47" s="402"/>
      <c r="M47" s="402"/>
      <c r="N47" s="199"/>
      <c r="P47" s="57"/>
      <c r="Q47" s="57"/>
      <c r="R47" s="105"/>
    </row>
    <row r="48" spans="1:19" s="22" customFormat="1" ht="14">
      <c r="C48" s="52"/>
      <c r="D48" s="52"/>
      <c r="E48" s="22" t="s">
        <v>87</v>
      </c>
      <c r="F48" s="174">
        <f>VLOOKUP(F47,競漕日程!$A$4:$D$41,2)</f>
        <v>0.51805555555555505</v>
      </c>
      <c r="H48" s="55"/>
      <c r="I48" s="22" t="s">
        <v>87</v>
      </c>
      <c r="J48" s="174">
        <f>VLOOKUP(J47,競漕日程!$A$4:$D$41,2)</f>
        <v>0.64166666666666605</v>
      </c>
      <c r="K48" s="166"/>
      <c r="L48" s="57"/>
      <c r="M48" s="57"/>
      <c r="N48" s="69"/>
      <c r="P48" s="57"/>
      <c r="Q48" s="55"/>
      <c r="R48" s="69"/>
    </row>
    <row r="49" spans="1:18" s="22" customFormat="1" ht="14">
      <c r="B49" s="401" t="str">
        <f>IF(A49="","",IF(INDEX('１×Ｍ'!$B$3:$J$45,MATCH($A49,'１×Ｍ'!$B$3:$B$45,),MATCH($B$5,'１×Ｍ'!$B$2:$J$2,))&lt;&gt;"",INDEX('１×Ｍ'!$B$3:$J$45,MATCH($A49,'１×Ｍ'!$B$3:$B$45,),MATCH($B$5,'１×Ｍ'!$B$2:$J$2,)),""))</f>
        <v/>
      </c>
      <c r="C49" s="399" t="str">
        <f>IF(A49="","",IF(INDEX('１×Ｍ'!$B$3:$J$45,MATCH($A49,'１×Ｍ'!$B$3:$B$45,),MATCH($C$5,'１×Ｍ'!$B$2:$J$2,))&lt;&gt;"",INDEX('１×Ｍ'!$B$3:$J$45,MATCH($A49,'１×Ｍ'!$B$3:$B$45,),MATCH($C$5,'１×Ｍ'!$B$2:$J$2,)),""))</f>
        <v/>
      </c>
      <c r="D49" s="399"/>
      <c r="E49" s="57"/>
      <c r="F49" s="57"/>
      <c r="H49" s="399"/>
      <c r="I49" s="57"/>
      <c r="J49" s="57"/>
      <c r="L49" s="400"/>
      <c r="M49" s="57"/>
      <c r="N49" s="57"/>
      <c r="P49" s="400"/>
      <c r="Q49" s="57"/>
      <c r="R49" s="58"/>
    </row>
    <row r="50" spans="1:18" s="22" customFormat="1" ht="14">
      <c r="B5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50" s="399"/>
      <c r="D50" s="399"/>
      <c r="E50" s="57"/>
      <c r="F50" s="57"/>
      <c r="H50" s="399"/>
      <c r="I50" s="57"/>
      <c r="J50" s="57"/>
      <c r="L50" s="400"/>
      <c r="M50" s="57"/>
      <c r="N50" s="57"/>
      <c r="P50" s="400"/>
      <c r="Q50" s="57"/>
      <c r="R50" s="58"/>
    </row>
    <row r="51" spans="1:18" s="22" customFormat="1" ht="14">
      <c r="A51" s="22">
        <v>5</v>
      </c>
      <c r="B51" s="401" t="str">
        <f>IF(A51="","",IF(INDEX('１×Ｍ'!$B$3:$J$45,MATCH($A51,'１×Ｍ'!$B$3:$B$45,),MATCH($B$5,'１×Ｍ'!$B$2:$J$2,))&lt;&gt;"",INDEX('１×Ｍ'!$B$3:$J$45,MATCH($A51,'１×Ｍ'!$B$3:$B$45,),MATCH($B$5,'１×Ｍ'!$B$2:$J$2,)),""))</f>
        <v>沼津工業高校D</v>
      </c>
      <c r="C51" s="399" t="str">
        <f>IF(A51="","",IF(INDEX('１×Ｍ'!$B$3:$J$45,MATCH($A51,'１×Ｍ'!$B$3:$B$45,),MATCH($C$5,'１×Ｍ'!$B$2:$J$2,))&lt;&gt;"",INDEX('１×Ｍ'!$B$3:$J$45,MATCH($A51,'１×Ｍ'!$B$3:$B$45,),MATCH($C$5,'１×Ｍ'!$B$2:$J$2,)),""))</f>
        <v>勝又</v>
      </c>
      <c r="D51" s="399">
        <v>2</v>
      </c>
      <c r="E51" s="357"/>
      <c r="F51" s="57"/>
      <c r="H51" s="399">
        <v>2</v>
      </c>
      <c r="I51" s="357"/>
      <c r="J51" s="57"/>
      <c r="L51" s="400"/>
      <c r="M51" s="57"/>
      <c r="N51" s="57"/>
      <c r="P51" s="400"/>
      <c r="Q51" s="57"/>
      <c r="R51" s="58"/>
    </row>
    <row r="52" spans="1:18" s="22" customFormat="1" ht="14">
      <c r="B5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52" s="399"/>
      <c r="D52" s="399"/>
      <c r="E52" s="57"/>
      <c r="F52" s="63"/>
      <c r="H52" s="399"/>
      <c r="I52" s="57" t="s">
        <v>921</v>
      </c>
      <c r="J52" s="63"/>
      <c r="L52" s="400"/>
      <c r="M52" s="57"/>
      <c r="N52" s="57"/>
      <c r="P52" s="400"/>
      <c r="Q52" s="57"/>
      <c r="R52" s="58"/>
    </row>
    <row r="53" spans="1:18" s="22" customFormat="1" ht="14">
      <c r="A53" s="22">
        <v>9</v>
      </c>
      <c r="B53" s="401" t="str">
        <f>IF(A53="","",IF(INDEX('１×Ｍ'!$B$3:$J$45,MATCH($A53,'１×Ｍ'!$B$3:$B$45,),MATCH($B$5,'１×Ｍ'!$B$2:$J$2,))&lt;&gt;"",INDEX('１×Ｍ'!$B$3:$J$45,MATCH($A53,'１×Ｍ'!$B$3:$B$45,),MATCH($B$5,'１×Ｍ'!$B$2:$J$2,)),""))</f>
        <v>新居高校A</v>
      </c>
      <c r="C53" s="399" t="str">
        <f>IF(A53="","",IF(INDEX('１×Ｍ'!$B$3:$J$45,MATCH($A53,'１×Ｍ'!$B$3:$B$45,),MATCH($C$5,'１×Ｍ'!$B$2:$J$2,))&lt;&gt;"",INDEX('１×Ｍ'!$B$3:$J$45,MATCH($A53,'１×Ｍ'!$B$3:$B$45,),MATCH($C$5,'１×Ｍ'!$B$2:$J$2,)),""))</f>
        <v>髙部</v>
      </c>
      <c r="D53" s="399">
        <v>3</v>
      </c>
      <c r="E53" s="57"/>
      <c r="F53" s="63"/>
      <c r="H53" s="399">
        <v>3</v>
      </c>
      <c r="I53" s="57"/>
      <c r="J53" s="63"/>
      <c r="L53" s="400"/>
      <c r="M53" s="57"/>
      <c r="N53" s="57"/>
      <c r="P53" s="400"/>
      <c r="Q53" s="57"/>
      <c r="R53" s="57"/>
    </row>
    <row r="54" spans="1:18" s="22" customFormat="1" ht="14">
      <c r="B5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54" s="399"/>
      <c r="D54" s="399"/>
      <c r="E54" s="61"/>
      <c r="F54" s="345"/>
      <c r="H54" s="399"/>
      <c r="I54" s="61" t="s">
        <v>905</v>
      </c>
      <c r="J54" s="345"/>
      <c r="L54" s="400"/>
      <c r="M54" s="57"/>
      <c r="N54" s="57"/>
      <c r="P54" s="400"/>
      <c r="Q54" s="57"/>
      <c r="R54" s="57"/>
    </row>
    <row r="55" spans="1:18" s="22" customFormat="1" ht="14">
      <c r="A55" s="22">
        <v>40</v>
      </c>
      <c r="B55" s="401" t="str">
        <f>IF(A55="","",IF(INDEX('１×Ｍ'!$B$3:$J$45,MATCH($A55,'１×Ｍ'!$B$3:$B$45,),MATCH($B$5,'１×Ｍ'!$B$2:$J$2,))&lt;&gt;"",INDEX('１×Ｍ'!$B$3:$J$45,MATCH($A55,'１×Ｍ'!$B$3:$B$45,),MATCH($B$5,'１×Ｍ'!$B$2:$J$2,)),""))</f>
        <v>浜松北高校B</v>
      </c>
      <c r="C55" s="399" t="str">
        <f>IF(A55="","",IF(INDEX('１×Ｍ'!$B$3:$J$45,MATCH($A55,'１×Ｍ'!$B$3:$B$45,),MATCH($C$5,'１×Ｍ'!$B$2:$J$2,))&lt;&gt;"",INDEX('１×Ｍ'!$B$3:$J$45,MATCH($A55,'１×Ｍ'!$B$3:$B$45,),MATCH($C$5,'１×Ｍ'!$B$2:$J$2,)),""))</f>
        <v>杉本</v>
      </c>
      <c r="D55" s="399">
        <v>4</v>
      </c>
      <c r="E55" s="65"/>
      <c r="F55" s="344"/>
      <c r="H55" s="399">
        <v>4</v>
      </c>
      <c r="I55" s="65"/>
      <c r="J55" s="344"/>
      <c r="L55" s="400"/>
      <c r="M55" s="57"/>
      <c r="N55" s="57"/>
      <c r="P55" s="400"/>
      <c r="Q55" s="57"/>
      <c r="R55" s="57"/>
    </row>
    <row r="56" spans="1:18" s="22" customFormat="1" ht="14">
      <c r="B5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56" s="399"/>
      <c r="D56" s="399"/>
      <c r="E56" s="343"/>
      <c r="F56" s="63"/>
      <c r="H56" s="399"/>
      <c r="I56" s="343" t="s">
        <v>914</v>
      </c>
      <c r="J56" s="63"/>
      <c r="L56" s="400"/>
      <c r="M56" s="57"/>
      <c r="N56" s="57"/>
      <c r="P56" s="400"/>
      <c r="Q56" s="57"/>
      <c r="R56" s="57"/>
    </row>
    <row r="57" spans="1:18" s="22" customFormat="1" ht="14">
      <c r="A57" s="22">
        <v>26</v>
      </c>
      <c r="B57" s="401" t="str">
        <f>IF(A57="","",IF(INDEX('１×Ｍ'!$B$3:$J$45,MATCH($A57,'１×Ｍ'!$B$3:$B$45,),MATCH($B$5,'１×Ｍ'!$B$2:$J$2,))&lt;&gt;"",INDEX('１×Ｍ'!$B$3:$J$45,MATCH($A57,'１×Ｍ'!$B$3:$B$45,),MATCH($B$5,'１×Ｍ'!$B$2:$J$2,)),""))</f>
        <v>天竜高校G</v>
      </c>
      <c r="C57" s="399" t="str">
        <f>IF(A57="","",IF(INDEX('１×Ｍ'!$B$3:$J$45,MATCH($A57,'１×Ｍ'!$B$3:$B$45,),MATCH($C$5,'１×Ｍ'!$B$2:$J$2,))&lt;&gt;"",INDEX('１×Ｍ'!$B$3:$J$45,MATCH($A57,'１×Ｍ'!$B$3:$B$45,),MATCH($C$5,'１×Ｍ'!$B$2:$J$2,)),""))</f>
        <v>岡野</v>
      </c>
      <c r="D57" s="399">
        <v>5</v>
      </c>
      <c r="E57" s="62"/>
      <c r="F57" s="63"/>
      <c r="H57" s="399">
        <v>5</v>
      </c>
      <c r="I57" s="62"/>
      <c r="J57" s="63"/>
      <c r="L57" s="400"/>
      <c r="M57" s="57"/>
      <c r="N57" s="57"/>
      <c r="P57" s="400"/>
      <c r="Q57" s="57"/>
      <c r="R57" s="57"/>
    </row>
    <row r="58" spans="1:18" s="22" customFormat="1" ht="14">
      <c r="B5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58" s="399"/>
      <c r="D58" s="399"/>
      <c r="E58" s="343"/>
      <c r="F58" s="57"/>
      <c r="H58" s="399"/>
      <c r="I58" s="343" t="s">
        <v>930</v>
      </c>
      <c r="J58" s="57"/>
      <c r="L58" s="400"/>
      <c r="M58" s="57"/>
      <c r="N58" s="57"/>
      <c r="P58" s="400"/>
      <c r="Q58" s="57"/>
      <c r="R58" s="57"/>
    </row>
    <row r="59" spans="1:18" s="22" customFormat="1" ht="14">
      <c r="B59" s="401" t="str">
        <f>IF(A59="","",IF(INDEX('１×Ｍ'!$B$3:$J$45,MATCH($A59,'１×Ｍ'!$B$3:$B$45,),MATCH($B$5,'１×Ｍ'!$B$2:$J$2,))&lt;&gt;"",INDEX('１×Ｍ'!$B$3:$J$45,MATCH($A59,'１×Ｍ'!$B$3:$B$45,),MATCH($B$5,'１×Ｍ'!$B$2:$J$2,)),""))</f>
        <v/>
      </c>
      <c r="C59" s="399" t="str">
        <f>IF(A59="","",IF(INDEX('１×Ｍ'!$B$3:$J$45,MATCH($A59,'１×Ｍ'!$B$3:$B$45,),MATCH($C$5,'１×Ｍ'!$B$2:$J$2,))&lt;&gt;"",INDEX('１×Ｍ'!$B$3:$J$45,MATCH($A59,'１×Ｍ'!$B$3:$B$45,),MATCH($C$5,'１×Ｍ'!$B$2:$J$2,)),""))</f>
        <v/>
      </c>
      <c r="D59" s="399"/>
      <c r="E59" s="57"/>
      <c r="H59" s="399"/>
      <c r="I59" s="57"/>
      <c r="K59" s="57"/>
      <c r="L59" s="400"/>
      <c r="M59" s="57"/>
      <c r="N59" s="57"/>
      <c r="P59" s="400"/>
      <c r="Q59" s="57"/>
      <c r="R59" s="57"/>
    </row>
    <row r="60" spans="1:18" s="22" customFormat="1" ht="14">
      <c r="B6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60" s="399"/>
      <c r="D60" s="399"/>
      <c r="H60" s="399"/>
      <c r="K60" s="57"/>
      <c r="L60" s="400"/>
      <c r="M60" s="57"/>
      <c r="N60" s="57"/>
      <c r="P60" s="400"/>
      <c r="Q60" s="57"/>
      <c r="R60" s="57"/>
    </row>
    <row r="61" spans="1:18" s="22" customFormat="1" ht="14.5" customHeight="1">
      <c r="C61" s="52"/>
      <c r="D61" s="52"/>
      <c r="F61" s="66">
        <f>F47+1</f>
        <v>9</v>
      </c>
      <c r="H61" s="361"/>
      <c r="I61" s="57"/>
      <c r="J61" s="66">
        <f>J47+1</f>
        <v>24</v>
      </c>
      <c r="L61" s="57"/>
      <c r="M61" s="57"/>
      <c r="N61" s="57"/>
    </row>
    <row r="62" spans="1:18" s="22" customFormat="1" ht="14.5" customHeight="1">
      <c r="C62" s="52"/>
      <c r="D62" s="52"/>
      <c r="E62" s="22" t="s">
        <v>88</v>
      </c>
      <c r="F62" s="174">
        <f>VLOOKUP(F61,競漕日程!$A$4:$D$41,2)</f>
        <v>0.52361111111111103</v>
      </c>
      <c r="I62" s="22" t="s">
        <v>88</v>
      </c>
      <c r="J62" s="174">
        <f>VLOOKUP(J61,競漕日程!$A$4:$D$41,2)</f>
        <v>0.64722222222222203</v>
      </c>
      <c r="L62" s="57"/>
      <c r="M62" s="57"/>
      <c r="N62" s="57"/>
    </row>
    <row r="63" spans="1:18" s="22" customFormat="1" ht="14.5" customHeight="1">
      <c r="B63" s="401" t="str">
        <f>IF(A63="","",IF(INDEX('１×Ｍ'!$B$3:$J$45,MATCH($A63,'１×Ｍ'!$B$3:$B$45,),MATCH($B$5,'１×Ｍ'!$B$2:$J$2,))&lt;&gt;"",INDEX('１×Ｍ'!$B$3:$J$45,MATCH($A63,'１×Ｍ'!$B$3:$B$45,),MATCH($B$5,'１×Ｍ'!$B$2:$J$2,)),""))</f>
        <v/>
      </c>
      <c r="C63" s="399" t="str">
        <f>IF(A63="","",IF(INDEX('１×Ｍ'!$B$3:$J$45,MATCH($A63,'１×Ｍ'!$B$3:$B$45,),MATCH($C$5,'１×Ｍ'!$B$2:$J$2,))&lt;&gt;"",INDEX('１×Ｍ'!$B$3:$J$45,MATCH($A63,'１×Ｍ'!$B$3:$B$45,),MATCH($C$5,'１×Ｍ'!$B$2:$J$2,)),""))</f>
        <v/>
      </c>
      <c r="D63" s="399"/>
      <c r="E63" s="57"/>
      <c r="F63" s="57"/>
      <c r="H63" s="399"/>
      <c r="I63" s="57"/>
      <c r="J63" s="57"/>
      <c r="L63" s="57"/>
      <c r="M63" s="57"/>
      <c r="N63" s="57"/>
    </row>
    <row r="64" spans="1:18" s="22" customFormat="1" ht="14.5" customHeight="1">
      <c r="B6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64" s="399"/>
      <c r="D64" s="399"/>
      <c r="E64" s="57"/>
      <c r="F64" s="57"/>
      <c r="H64" s="399"/>
      <c r="I64" s="57"/>
      <c r="J64" s="57"/>
      <c r="L64" s="57"/>
      <c r="M64" s="57"/>
      <c r="N64" s="57"/>
    </row>
    <row r="65" spans="1:18" s="22" customFormat="1" ht="14.5" customHeight="1">
      <c r="A65" s="22">
        <v>41</v>
      </c>
      <c r="B65" s="401" t="str">
        <f>IF(A65="","",IF(INDEX('１×Ｍ'!$B$3:$J$45,MATCH($A65,'１×Ｍ'!$B$3:$B$45,),MATCH($B$5,'１×Ｍ'!$B$2:$J$2,))&lt;&gt;"",INDEX('１×Ｍ'!$B$3:$J$45,MATCH($A65,'１×Ｍ'!$B$3:$B$45,),MATCH($B$5,'１×Ｍ'!$B$2:$J$2,)),""))</f>
        <v>浜松北高校C</v>
      </c>
      <c r="C65" s="399" t="str">
        <f>IF(A65="","",IF(INDEX('１×Ｍ'!$B$3:$J$45,MATCH($A65,'１×Ｍ'!$B$3:$B$45,),MATCH($C$5,'１×Ｍ'!$B$2:$J$2,))&lt;&gt;"",INDEX('１×Ｍ'!$B$3:$J$45,MATCH($A65,'１×Ｍ'!$B$3:$B$45,),MATCH($C$5,'１×Ｍ'!$B$2:$J$2,)),""))</f>
        <v>戸川</v>
      </c>
      <c r="D65" s="399">
        <v>2</v>
      </c>
      <c r="E65" s="357"/>
      <c r="F65" s="57"/>
      <c r="H65" s="399">
        <v>2</v>
      </c>
      <c r="I65" s="357"/>
      <c r="J65" s="57"/>
      <c r="L65" s="57"/>
      <c r="M65" s="57"/>
      <c r="N65" s="57"/>
    </row>
    <row r="66" spans="1:18" s="22" customFormat="1" ht="14.5" customHeight="1">
      <c r="B6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66" s="399"/>
      <c r="D66" s="399"/>
      <c r="E66" s="57"/>
      <c r="F66" s="63"/>
      <c r="H66" s="399"/>
      <c r="I66" s="57" t="s">
        <v>922</v>
      </c>
      <c r="J66" s="63"/>
      <c r="L66" s="57"/>
      <c r="M66" s="57"/>
      <c r="N66" s="57"/>
    </row>
    <row r="67" spans="1:18" s="22" customFormat="1" ht="14.5" customHeight="1">
      <c r="A67" s="22">
        <v>20</v>
      </c>
      <c r="B67" s="401" t="str">
        <f>IF(A67="","",IF(INDEX('１×Ｍ'!$B$3:$J$45,MATCH($A67,'１×Ｍ'!$B$3:$B$45,),MATCH($B$5,'１×Ｍ'!$B$2:$J$2,))&lt;&gt;"",INDEX('１×Ｍ'!$B$3:$J$45,MATCH($A67,'１×Ｍ'!$B$3:$B$45,),MATCH($B$5,'１×Ｍ'!$B$2:$J$2,)),""))</f>
        <v>天竜高校A</v>
      </c>
      <c r="C67" s="399" t="str">
        <f>IF(A67="","",IF(INDEX('１×Ｍ'!$B$3:$J$45,MATCH($A67,'１×Ｍ'!$B$3:$B$45,),MATCH($C$5,'１×Ｍ'!$B$2:$J$2,))&lt;&gt;"",INDEX('１×Ｍ'!$B$3:$J$45,MATCH($A67,'１×Ｍ'!$B$3:$B$45,),MATCH($C$5,'１×Ｍ'!$B$2:$J$2,)),""))</f>
        <v>鈴木</v>
      </c>
      <c r="D67" s="399">
        <v>3</v>
      </c>
      <c r="E67" s="57"/>
      <c r="F67" s="63"/>
      <c r="H67" s="399">
        <v>3</v>
      </c>
      <c r="I67" s="57"/>
      <c r="J67" s="63"/>
      <c r="L67" s="57"/>
      <c r="M67" s="57"/>
      <c r="N67" s="57"/>
    </row>
    <row r="68" spans="1:18" s="22" customFormat="1" ht="14.25" customHeight="1">
      <c r="B6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68" s="399"/>
      <c r="D68" s="399"/>
      <c r="E68" s="61"/>
      <c r="F68" s="345"/>
      <c r="H68" s="399"/>
      <c r="I68" s="61" t="s">
        <v>906</v>
      </c>
      <c r="J68" s="345"/>
      <c r="L68" s="57"/>
      <c r="M68" s="57"/>
      <c r="N68" s="57"/>
    </row>
    <row r="69" spans="1:18" s="22" customFormat="1" ht="14.5" customHeight="1">
      <c r="A69" s="22">
        <v>35</v>
      </c>
      <c r="B69" s="401" t="str">
        <f>IF(A69="","",IF(INDEX('１×Ｍ'!$B$3:$J$45,MATCH($A69,'１×Ｍ'!$B$3:$B$45,),MATCH($B$5,'１×Ｍ'!$B$2:$J$2,))&lt;&gt;"",INDEX('１×Ｍ'!$B$3:$J$45,MATCH($A69,'１×Ｍ'!$B$3:$B$45,),MATCH($B$5,'１×Ｍ'!$B$2:$J$2,)),""))</f>
        <v>浜松湖南高校B</v>
      </c>
      <c r="C69" s="399" t="str">
        <f>IF(A69="","",IF(INDEX('１×Ｍ'!$B$3:$J$45,MATCH($A69,'１×Ｍ'!$B$3:$B$45,),MATCH($C$5,'１×Ｍ'!$B$2:$J$2,))&lt;&gt;"",INDEX('１×Ｍ'!$B$3:$J$45,MATCH($A69,'１×Ｍ'!$B$3:$B$45,),MATCH($C$5,'１×Ｍ'!$B$2:$J$2,)),""))</f>
        <v>蓑部</v>
      </c>
      <c r="D69" s="399">
        <v>4</v>
      </c>
      <c r="E69" s="65"/>
      <c r="F69" s="344"/>
      <c r="H69" s="399">
        <v>4</v>
      </c>
      <c r="I69" s="65"/>
      <c r="J69" s="344"/>
      <c r="L69" s="57"/>
      <c r="M69" s="57"/>
      <c r="N69" s="57"/>
    </row>
    <row r="70" spans="1:18" s="22" customFormat="1" ht="14.5" customHeight="1">
      <c r="B7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70" s="399"/>
      <c r="D70" s="399"/>
      <c r="E70" s="343"/>
      <c r="F70" s="63"/>
      <c r="H70" s="399"/>
      <c r="I70" s="343" t="s">
        <v>913</v>
      </c>
      <c r="J70" s="63"/>
      <c r="L70" s="57"/>
      <c r="M70" s="57"/>
      <c r="N70" s="57"/>
    </row>
    <row r="71" spans="1:18" s="22" customFormat="1" ht="14.5" customHeight="1">
      <c r="A71" s="22">
        <v>25</v>
      </c>
      <c r="B71" s="401" t="str">
        <f>IF(A71="","",IF(INDEX('１×Ｍ'!$B$3:$J$45,MATCH($A71,'１×Ｍ'!$B$3:$B$45,),MATCH($B$5,'１×Ｍ'!$B$2:$J$2,))&lt;&gt;"",INDEX('１×Ｍ'!$B$3:$J$45,MATCH($A71,'１×Ｍ'!$B$3:$B$45,),MATCH($B$5,'１×Ｍ'!$B$2:$J$2,)),""))</f>
        <v>天竜高校F</v>
      </c>
      <c r="C71" s="399" t="str">
        <f>IF(A71="","",IF(INDEX('１×Ｍ'!$B$3:$J$45,MATCH($A71,'１×Ｍ'!$B$3:$B$45,),MATCH($C$5,'１×Ｍ'!$B$2:$J$2,))&lt;&gt;"",INDEX('１×Ｍ'!$B$3:$J$45,MATCH($A71,'１×Ｍ'!$B$3:$B$45,),MATCH($C$5,'１×Ｍ'!$B$2:$J$2,)),""))</f>
        <v>清水</v>
      </c>
      <c r="D71" s="399">
        <v>5</v>
      </c>
      <c r="E71" s="62"/>
      <c r="F71" s="63"/>
      <c r="H71" s="399">
        <v>5</v>
      </c>
      <c r="I71" s="62"/>
      <c r="J71" s="63"/>
      <c r="L71" s="57"/>
      <c r="M71" s="57"/>
      <c r="N71" s="57"/>
    </row>
    <row r="72" spans="1:18" s="22" customFormat="1" ht="14.5" customHeight="1">
      <c r="B7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72" s="399"/>
      <c r="D72" s="399"/>
      <c r="E72" s="343"/>
      <c r="F72" s="57"/>
      <c r="H72" s="399"/>
      <c r="I72" s="343" t="s">
        <v>929</v>
      </c>
      <c r="J72" s="57"/>
      <c r="L72" s="57"/>
      <c r="M72" s="57"/>
      <c r="N72" s="57"/>
    </row>
    <row r="73" spans="1:18" s="22" customFormat="1" ht="14.5" customHeight="1">
      <c r="B73" s="401" t="str">
        <f>IF(A73="","",IF(INDEX('１×Ｍ'!$B$3:$J$45,MATCH($A73,'１×Ｍ'!$B$3:$B$45,),MATCH($B$5,'１×Ｍ'!$B$2:$J$2,))&lt;&gt;"",INDEX('１×Ｍ'!$B$3:$J$45,MATCH($A73,'１×Ｍ'!$B$3:$B$45,),MATCH($B$5,'１×Ｍ'!$B$2:$J$2,)),""))</f>
        <v/>
      </c>
      <c r="C73" s="399" t="str">
        <f>IF(A73="","",IF(INDEX('１×Ｍ'!$B$3:$J$45,MATCH($A73,'１×Ｍ'!$B$3:$B$45,),MATCH($C$5,'１×Ｍ'!$B$2:$J$2,))&lt;&gt;"",INDEX('１×Ｍ'!$B$3:$J$45,MATCH($A73,'１×Ｍ'!$B$3:$B$45,),MATCH($C$5,'１×Ｍ'!$B$2:$J$2,)),""))</f>
        <v/>
      </c>
      <c r="D73" s="399"/>
      <c r="E73" s="57"/>
      <c r="H73" s="399"/>
      <c r="I73" s="57"/>
      <c r="L73" s="57"/>
      <c r="M73" s="57"/>
      <c r="N73" s="57"/>
    </row>
    <row r="74" spans="1:18" s="22" customFormat="1" ht="14.5" customHeight="1">
      <c r="B7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74" s="399"/>
      <c r="D74" s="399"/>
      <c r="H74" s="399"/>
      <c r="L74" s="57"/>
      <c r="M74" s="57"/>
      <c r="N74" s="57"/>
    </row>
    <row r="75" spans="1:18" s="22" customFormat="1" ht="14">
      <c r="C75" s="52"/>
      <c r="D75" s="52"/>
      <c r="F75" s="66">
        <f>F61+1</f>
        <v>10</v>
      </c>
      <c r="H75" s="176"/>
      <c r="J75" s="66">
        <f>J61+1</f>
        <v>25</v>
      </c>
      <c r="K75" s="331"/>
      <c r="L75" s="402"/>
      <c r="M75" s="402"/>
      <c r="N75" s="199"/>
      <c r="P75" s="57"/>
      <c r="Q75" s="57"/>
      <c r="R75" s="105"/>
    </row>
    <row r="76" spans="1:18" s="22" customFormat="1" ht="14">
      <c r="C76" s="52"/>
      <c r="D76" s="52"/>
      <c r="E76" s="22" t="s">
        <v>368</v>
      </c>
      <c r="F76" s="174">
        <f>VLOOKUP(F75,競漕日程!$A$4:$D$41,2)</f>
        <v>0.52916666666666601</v>
      </c>
      <c r="H76" s="365"/>
      <c r="I76" s="22" t="s">
        <v>368</v>
      </c>
      <c r="J76" s="174">
        <f>VLOOKUP(J75,競漕日程!$A$4:$D$41,2)</f>
        <v>0.65277777777777801</v>
      </c>
      <c r="K76" s="175"/>
      <c r="L76" s="57"/>
      <c r="M76" s="57"/>
      <c r="N76" s="69"/>
      <c r="O76" s="175"/>
      <c r="P76" s="57"/>
      <c r="Q76" s="55"/>
      <c r="R76" s="69"/>
    </row>
    <row r="77" spans="1:18" s="22" customFormat="1" ht="14">
      <c r="B77" s="401" t="str">
        <f>IF(A77="","",IF(INDEX('１×Ｍ'!$B$3:$J$45,MATCH($A77,'１×Ｍ'!$B$3:$B$45,),MATCH($B$5,'１×Ｍ'!$B$2:$J$2,))&lt;&gt;"",INDEX('１×Ｍ'!$B$3:$J$45,MATCH($A77,'１×Ｍ'!$B$3:$B$45,),MATCH($B$5,'１×Ｍ'!$B$2:$J$2,)),""))</f>
        <v/>
      </c>
      <c r="C77" s="399" t="str">
        <f>IF(A77="","",IF(INDEX('１×Ｍ'!$B$3:$J$45,MATCH($A77,'１×Ｍ'!$B$3:$B$45,),MATCH($C$5,'１×Ｍ'!$B$2:$J$2,))&lt;&gt;"",INDEX('１×Ｍ'!$B$3:$J$45,MATCH($A77,'１×Ｍ'!$B$3:$B$45,),MATCH($C$5,'１×Ｍ'!$B$2:$J$2,)),""))</f>
        <v/>
      </c>
      <c r="D77" s="399"/>
      <c r="E77" s="57"/>
      <c r="F77" s="57"/>
      <c r="H77" s="399"/>
      <c r="I77" s="57"/>
      <c r="J77" s="57"/>
      <c r="L77" s="400"/>
      <c r="M77" s="57"/>
      <c r="N77" s="58"/>
      <c r="P77" s="330"/>
      <c r="Q77" s="57"/>
      <c r="R77" s="58"/>
    </row>
    <row r="78" spans="1:18" s="22" customFormat="1" ht="14">
      <c r="B7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78" s="399"/>
      <c r="D78" s="399"/>
      <c r="E78" s="57"/>
      <c r="F78" s="57"/>
      <c r="H78" s="399"/>
      <c r="I78" s="57"/>
      <c r="J78" s="57"/>
      <c r="L78" s="400"/>
      <c r="M78" s="57"/>
      <c r="N78" s="58"/>
      <c r="P78" s="330"/>
      <c r="Q78" s="57"/>
      <c r="R78" s="58"/>
    </row>
    <row r="79" spans="1:18" s="22" customFormat="1" ht="14">
      <c r="A79" s="22">
        <v>19</v>
      </c>
      <c r="B79" s="401" t="str">
        <f>IF(A79="","",IF(INDEX('１×Ｍ'!$B$3:$J$45,MATCH($A79,'１×Ｍ'!$B$3:$B$45,),MATCH($B$5,'１×Ｍ'!$B$2:$J$2,))&lt;&gt;"",INDEX('１×Ｍ'!$B$3:$J$45,MATCH($A79,'１×Ｍ'!$B$3:$B$45,),MATCH($B$5,'１×Ｍ'!$B$2:$J$2,)),""))</f>
        <v>新居高校K</v>
      </c>
      <c r="C79" s="399" t="str">
        <f>IF(A79="","",IF(INDEX('１×Ｍ'!$B$3:$J$45,MATCH($A79,'１×Ｍ'!$B$3:$B$45,),MATCH($C$5,'１×Ｍ'!$B$2:$J$2,))&lt;&gt;"",INDEX('１×Ｍ'!$B$3:$J$45,MATCH($A79,'１×Ｍ'!$B$3:$B$45,),MATCH($C$5,'１×Ｍ'!$B$2:$J$2,)),""))</f>
        <v>岡市</v>
      </c>
      <c r="D79" s="399">
        <v>2</v>
      </c>
      <c r="E79" s="357"/>
      <c r="F79" s="57"/>
      <c r="H79" s="399">
        <v>2</v>
      </c>
      <c r="I79" s="357"/>
      <c r="J79" s="57"/>
      <c r="L79" s="400"/>
      <c r="M79" s="57"/>
      <c r="N79" s="58"/>
      <c r="P79" s="330"/>
      <c r="Q79" s="57"/>
      <c r="R79" s="58"/>
    </row>
    <row r="80" spans="1:18" s="22" customFormat="1" ht="14">
      <c r="B8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80" s="399"/>
      <c r="D80" s="399"/>
      <c r="E80" s="57"/>
      <c r="F80" s="63"/>
      <c r="H80" s="399"/>
      <c r="I80" s="57" t="s">
        <v>923</v>
      </c>
      <c r="J80" s="63"/>
      <c r="L80" s="400"/>
      <c r="M80" s="57"/>
      <c r="N80" s="58"/>
      <c r="P80" s="330"/>
      <c r="Q80" s="57"/>
      <c r="R80" s="58"/>
    </row>
    <row r="81" spans="1:19" s="22" customFormat="1" ht="14">
      <c r="A81" s="22">
        <v>28</v>
      </c>
      <c r="B81" s="401" t="str">
        <f>IF(A81="","",IF(INDEX('１×Ｍ'!$B$3:$J$45,MATCH($A81,'１×Ｍ'!$B$3:$B$45,),MATCH($B$5,'１×Ｍ'!$B$2:$J$2,))&lt;&gt;"",INDEX('１×Ｍ'!$B$3:$J$45,MATCH($A81,'１×Ｍ'!$B$3:$B$45,),MATCH($B$5,'１×Ｍ'!$B$2:$J$2,)),""))</f>
        <v>沼津東高校A</v>
      </c>
      <c r="C81" s="399" t="str">
        <f>IF(A81="","",IF(INDEX('１×Ｍ'!$B$3:$J$45,MATCH($A81,'１×Ｍ'!$B$3:$B$45,),MATCH($C$5,'１×Ｍ'!$B$2:$J$2,))&lt;&gt;"",INDEX('１×Ｍ'!$B$3:$J$45,MATCH($A81,'１×Ｍ'!$B$3:$B$45,),MATCH($C$5,'１×Ｍ'!$B$2:$J$2,)),""))</f>
        <v>深田</v>
      </c>
      <c r="D81" s="399">
        <v>3</v>
      </c>
      <c r="E81" s="57"/>
      <c r="F81" s="63"/>
      <c r="H81" s="399">
        <v>3</v>
      </c>
      <c r="I81" s="57"/>
      <c r="J81" s="63"/>
      <c r="L81" s="400"/>
      <c r="M81" s="57"/>
      <c r="N81" s="58"/>
      <c r="P81" s="330"/>
      <c r="Q81" s="57"/>
      <c r="R81" s="57"/>
    </row>
    <row r="82" spans="1:19" s="22" customFormat="1" ht="14">
      <c r="B8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82" s="399"/>
      <c r="D82" s="399"/>
      <c r="E82" s="61"/>
      <c r="F82" s="345"/>
      <c r="H82" s="399"/>
      <c r="I82" s="61" t="s">
        <v>907</v>
      </c>
      <c r="J82" s="345"/>
      <c r="L82" s="400"/>
      <c r="M82" s="57"/>
      <c r="N82" s="58"/>
      <c r="P82" s="330"/>
      <c r="Q82" s="57"/>
      <c r="R82" s="57"/>
    </row>
    <row r="83" spans="1:19" s="22" customFormat="1" ht="14">
      <c r="A83" s="22">
        <v>31</v>
      </c>
      <c r="B83" s="401" t="str">
        <f>IF(A83="","",IF(INDEX('１×Ｍ'!$B$3:$J$45,MATCH($A83,'１×Ｍ'!$B$3:$B$45,),MATCH($B$5,'１×Ｍ'!$B$2:$J$2,))&lt;&gt;"",INDEX('１×Ｍ'!$B$3:$J$45,MATCH($A83,'１×Ｍ'!$B$3:$B$45,),MATCH($B$5,'１×Ｍ'!$B$2:$J$2,)),""))</f>
        <v>浜松大平台高校B</v>
      </c>
      <c r="C83" s="399" t="str">
        <f>IF(A83="","",IF(INDEX('１×Ｍ'!$B$3:$J$45,MATCH($A83,'１×Ｍ'!$B$3:$B$45,),MATCH($C$5,'１×Ｍ'!$B$2:$J$2,))&lt;&gt;"",INDEX('１×Ｍ'!$B$3:$J$45,MATCH($A83,'１×Ｍ'!$B$3:$B$45,),MATCH($C$5,'１×Ｍ'!$B$2:$J$2,)),""))</f>
        <v>長谷川</v>
      </c>
      <c r="D83" s="399">
        <v>4</v>
      </c>
      <c r="E83" s="65"/>
      <c r="F83" s="344"/>
      <c r="H83" s="399">
        <v>4</v>
      </c>
      <c r="I83" s="65"/>
      <c r="J83" s="344"/>
      <c r="L83" s="400"/>
      <c r="M83" s="57"/>
      <c r="N83" s="58"/>
      <c r="P83" s="330"/>
      <c r="Q83" s="57"/>
      <c r="R83" s="57"/>
    </row>
    <row r="84" spans="1:19" s="22" customFormat="1" ht="14">
      <c r="B8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84" s="399"/>
      <c r="D84" s="399"/>
      <c r="E84" s="343"/>
      <c r="F84" s="63"/>
      <c r="H84" s="399"/>
      <c r="I84" s="343" t="s">
        <v>912</v>
      </c>
      <c r="J84" s="63"/>
      <c r="L84" s="400"/>
      <c r="M84" s="57"/>
      <c r="N84" s="58"/>
      <c r="P84" s="330"/>
      <c r="Q84" s="57"/>
      <c r="R84" s="57"/>
      <c r="S84" s="175"/>
    </row>
    <row r="85" spans="1:19" s="22" customFormat="1" ht="14">
      <c r="A85" s="22">
        <v>14</v>
      </c>
      <c r="B85" s="401" t="str">
        <f>IF(A85="","",IF(INDEX('１×Ｍ'!$B$3:$J$45,MATCH($A85,'１×Ｍ'!$B$3:$B$45,),MATCH($B$5,'１×Ｍ'!$B$2:$J$2,))&lt;&gt;"",INDEX('１×Ｍ'!$B$3:$J$45,MATCH($A85,'１×Ｍ'!$B$3:$B$45,),MATCH($B$5,'１×Ｍ'!$B$2:$J$2,)),""))</f>
        <v>新居高校F</v>
      </c>
      <c r="C85" s="399" t="str">
        <f>IF(A85="","",IF(INDEX('１×Ｍ'!$B$3:$J$45,MATCH($A85,'１×Ｍ'!$B$3:$B$45,),MATCH($C$5,'１×Ｍ'!$B$2:$J$2,))&lt;&gt;"",INDEX('１×Ｍ'!$B$3:$J$45,MATCH($A85,'１×Ｍ'!$B$3:$B$45,),MATCH($C$5,'１×Ｍ'!$B$2:$J$2,)),""))</f>
        <v>倉井</v>
      </c>
      <c r="D85" s="399">
        <v>5</v>
      </c>
      <c r="E85" s="62"/>
      <c r="F85" s="63"/>
      <c r="H85" s="399">
        <v>5</v>
      </c>
      <c r="I85" s="62"/>
      <c r="J85" s="63"/>
      <c r="L85" s="400"/>
      <c r="M85" s="57"/>
      <c r="N85" s="58"/>
      <c r="P85" s="330"/>
      <c r="Q85" s="57"/>
      <c r="R85" s="57"/>
    </row>
    <row r="86" spans="1:19" s="22" customFormat="1" ht="14">
      <c r="B8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86" s="399"/>
      <c r="D86" s="399"/>
      <c r="E86" s="343"/>
      <c r="F86" s="57"/>
      <c r="H86" s="399"/>
      <c r="I86" s="343" t="s">
        <v>928</v>
      </c>
      <c r="J86" s="57"/>
      <c r="L86" s="400"/>
      <c r="M86" s="57"/>
      <c r="N86" s="58"/>
      <c r="P86" s="330"/>
      <c r="Q86" s="57"/>
      <c r="R86" s="57"/>
    </row>
    <row r="87" spans="1:19" s="22" customFormat="1" ht="14">
      <c r="B87" s="401" t="str">
        <f>IF(A87="","",IF(INDEX('１×Ｍ'!$B$3:$J$45,MATCH($A87,'１×Ｍ'!$B$3:$B$45,),MATCH($B$5,'１×Ｍ'!$B$2:$J$2,))&lt;&gt;"",INDEX('１×Ｍ'!$B$3:$J$45,MATCH($A87,'１×Ｍ'!$B$3:$B$45,),MATCH($B$5,'１×Ｍ'!$B$2:$J$2,)),""))</f>
        <v/>
      </c>
      <c r="C87" s="399" t="str">
        <f>IF(A87="","",IF(INDEX('１×Ｍ'!$B$3:$J$45,MATCH($A87,'１×Ｍ'!$B$3:$B$45,),MATCH($C$5,'１×Ｍ'!$B$2:$J$2,))&lt;&gt;"",INDEX('１×Ｍ'!$B$3:$J$45,MATCH($A87,'１×Ｍ'!$B$3:$B$45,),MATCH($C$5,'１×Ｍ'!$B$2:$J$2,)),""))</f>
        <v/>
      </c>
      <c r="D87" s="399"/>
      <c r="E87" s="57"/>
      <c r="H87" s="399"/>
      <c r="I87" s="57"/>
      <c r="L87" s="400"/>
      <c r="M87" s="57"/>
      <c r="N87" s="58"/>
      <c r="P87" s="330"/>
      <c r="Q87" s="57"/>
      <c r="R87" s="57"/>
    </row>
    <row r="88" spans="1:19" s="22" customFormat="1" ht="14">
      <c r="B8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88" s="399"/>
      <c r="D88" s="399"/>
      <c r="H88" s="399"/>
      <c r="L88" s="400"/>
      <c r="M88" s="57"/>
      <c r="N88" s="58"/>
      <c r="P88" s="330"/>
      <c r="Q88" s="57"/>
      <c r="R88" s="57"/>
    </row>
    <row r="89" spans="1:19" s="22" customFormat="1" ht="14">
      <c r="C89" s="52"/>
      <c r="D89" s="52"/>
      <c r="F89" s="66">
        <f>F75+1</f>
        <v>11</v>
      </c>
      <c r="H89" s="176"/>
      <c r="J89" s="66">
        <f>J75+1</f>
        <v>26</v>
      </c>
      <c r="K89" s="55"/>
      <c r="P89" s="57"/>
      <c r="Q89" s="57"/>
      <c r="R89" s="105"/>
    </row>
    <row r="90" spans="1:19" s="22" customFormat="1" ht="14">
      <c r="C90" s="52"/>
      <c r="D90" s="52"/>
      <c r="E90" s="22" t="s">
        <v>369</v>
      </c>
      <c r="F90" s="174">
        <f>VLOOKUP(F89,競漕日程!$A$4:$D$41,2)</f>
        <v>0.53472222222222199</v>
      </c>
      <c r="H90" s="365"/>
      <c r="I90" s="22" t="s">
        <v>369</v>
      </c>
      <c r="J90" s="174">
        <f>VLOOKUP(J89,競漕日程!$A$4:$D$41,2)</f>
        <v>0.65833333333333299</v>
      </c>
      <c r="K90" s="175"/>
      <c r="P90" s="57"/>
      <c r="Q90" s="55"/>
      <c r="R90" s="69"/>
    </row>
    <row r="91" spans="1:19" s="22" customFormat="1" ht="14">
      <c r="B91" s="401" t="str">
        <f>IF(A91="","",IF(INDEX('１×Ｍ'!$B$3:$J$45,MATCH($A91,'１×Ｍ'!$B$3:$B$45,),MATCH($B$5,'１×Ｍ'!$B$2:$J$2,))&lt;&gt;"",INDEX('１×Ｍ'!$B$3:$J$45,MATCH($A91,'１×Ｍ'!$B$3:$B$45,),MATCH($B$5,'１×Ｍ'!$B$2:$J$2,)),""))</f>
        <v/>
      </c>
      <c r="C91" s="399" t="str">
        <f>IF(A91="","",IF(INDEX('１×Ｍ'!$B$3:$J$45,MATCH($A91,'１×Ｍ'!$B$3:$B$45,),MATCH($C$5,'１×Ｍ'!$B$2:$J$2,))&lt;&gt;"",INDEX('１×Ｍ'!$B$3:$J$45,MATCH($A91,'１×Ｍ'!$B$3:$B$45,),MATCH($C$5,'１×Ｍ'!$B$2:$J$2,)),""))</f>
        <v/>
      </c>
      <c r="D91" s="399"/>
      <c r="E91" s="57"/>
      <c r="F91" s="57"/>
      <c r="H91" s="399"/>
      <c r="I91" s="57"/>
      <c r="J91" s="57"/>
      <c r="P91" s="400"/>
      <c r="Q91" s="57"/>
      <c r="R91" s="58"/>
    </row>
    <row r="92" spans="1:19" s="22" customFormat="1" ht="14">
      <c r="B9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92" s="399"/>
      <c r="D92" s="399"/>
      <c r="E92" s="57"/>
      <c r="F92" s="57"/>
      <c r="H92" s="399"/>
      <c r="I92" s="57"/>
      <c r="J92" s="57"/>
      <c r="P92" s="400"/>
      <c r="Q92" s="57"/>
      <c r="R92" s="58"/>
    </row>
    <row r="93" spans="1:19" s="22" customFormat="1" ht="14">
      <c r="A93" s="22">
        <v>23</v>
      </c>
      <c r="B93" s="401" t="str">
        <f>IF(A93="","",IF(INDEX('１×Ｍ'!$B$3:$J$45,MATCH($A93,'１×Ｍ'!$B$3:$B$45,),MATCH($B$5,'１×Ｍ'!$B$2:$J$2,))&lt;&gt;"",INDEX('１×Ｍ'!$B$3:$J$45,MATCH($A93,'１×Ｍ'!$B$3:$B$45,),MATCH($B$5,'１×Ｍ'!$B$2:$J$2,)),""))</f>
        <v>天竜高校D</v>
      </c>
      <c r="C93" s="399" t="str">
        <f>IF(A93="","",IF(INDEX('１×Ｍ'!$B$3:$J$45,MATCH($A93,'１×Ｍ'!$B$3:$B$45,),MATCH($C$5,'１×Ｍ'!$B$2:$J$2,))&lt;&gt;"",INDEX('１×Ｍ'!$B$3:$J$45,MATCH($A93,'１×Ｍ'!$B$3:$B$45,),MATCH($C$5,'１×Ｍ'!$B$2:$J$2,)),""))</f>
        <v>黒田</v>
      </c>
      <c r="D93" s="399">
        <v>2</v>
      </c>
      <c r="E93" s="357"/>
      <c r="F93" s="57"/>
      <c r="H93" s="399">
        <v>2</v>
      </c>
      <c r="I93" s="357"/>
      <c r="J93" s="57"/>
      <c r="P93" s="400"/>
      <c r="Q93" s="57"/>
      <c r="R93" s="58"/>
    </row>
    <row r="94" spans="1:19" s="22" customFormat="1" ht="14">
      <c r="B9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94" s="399"/>
      <c r="D94" s="399"/>
      <c r="E94" s="57"/>
      <c r="F94" s="63"/>
      <c r="H94" s="399"/>
      <c r="I94" s="62" t="s">
        <v>924</v>
      </c>
      <c r="J94" s="63"/>
      <c r="P94" s="400"/>
      <c r="Q94" s="57"/>
      <c r="R94" s="58"/>
    </row>
    <row r="95" spans="1:19" s="22" customFormat="1" ht="14">
      <c r="A95" s="22">
        <v>30</v>
      </c>
      <c r="B95" s="401" t="str">
        <f>IF(A95="","",IF(INDEX('１×Ｍ'!$B$3:$J$45,MATCH($A95,'１×Ｍ'!$B$3:$B$45,),MATCH($B$5,'１×Ｍ'!$B$2:$J$2,))&lt;&gt;"",INDEX('１×Ｍ'!$B$3:$J$45,MATCH($A95,'１×Ｍ'!$B$3:$B$45,),MATCH($B$5,'１×Ｍ'!$B$2:$J$2,)),""))</f>
        <v>浜松大平台高校A</v>
      </c>
      <c r="C95" s="399" t="str">
        <f>IF(A95="","",IF(INDEX('１×Ｍ'!$B$3:$J$45,MATCH($A95,'１×Ｍ'!$B$3:$B$45,),MATCH($C$5,'１×Ｍ'!$B$2:$J$2,))&lt;&gt;"",INDEX('１×Ｍ'!$B$3:$J$45,MATCH($A95,'１×Ｍ'!$B$3:$B$45,),MATCH($C$5,'１×Ｍ'!$B$2:$J$2,)),""))</f>
        <v>富田</v>
      </c>
      <c r="D95" s="399">
        <v>3</v>
      </c>
      <c r="E95" s="57"/>
      <c r="F95" s="63"/>
      <c r="H95" s="399">
        <v>3</v>
      </c>
      <c r="I95" s="57"/>
      <c r="J95" s="63"/>
      <c r="P95" s="400"/>
      <c r="Q95" s="57"/>
      <c r="R95" s="57"/>
    </row>
    <row r="96" spans="1:19" s="22" customFormat="1" ht="14">
      <c r="B9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96" s="399"/>
      <c r="D96" s="399"/>
      <c r="E96" s="61"/>
      <c r="F96" s="345"/>
      <c r="H96" s="399"/>
      <c r="I96" s="343" t="s">
        <v>908</v>
      </c>
      <c r="J96" s="345"/>
      <c r="P96" s="400"/>
      <c r="Q96" s="57"/>
      <c r="R96" s="57"/>
    </row>
    <row r="97" spans="1:18" s="22" customFormat="1" ht="14">
      <c r="A97" s="22">
        <v>29</v>
      </c>
      <c r="B97" s="401" t="str">
        <f>IF(A97="","",IF(INDEX('１×Ｍ'!$B$3:$J$45,MATCH($A97,'１×Ｍ'!$B$3:$B$45,),MATCH($B$5,'１×Ｍ'!$B$2:$J$2,))&lt;&gt;"",INDEX('１×Ｍ'!$B$3:$J$45,MATCH($A97,'１×Ｍ'!$B$3:$B$45,),MATCH($B$5,'１×Ｍ'!$B$2:$J$2,)),""))</f>
        <v>沼津東高校B</v>
      </c>
      <c r="C97" s="399" t="str">
        <f>IF(A97="","",IF(INDEX('１×Ｍ'!$B$3:$J$45,MATCH($A97,'１×Ｍ'!$B$3:$B$45,),MATCH($C$5,'１×Ｍ'!$B$2:$J$2,))&lt;&gt;"",INDEX('１×Ｍ'!$B$3:$J$45,MATCH($A97,'１×Ｍ'!$B$3:$B$45,),MATCH($C$5,'１×Ｍ'!$B$2:$J$2,)),""))</f>
        <v>小山</v>
      </c>
      <c r="D97" s="399">
        <v>4</v>
      </c>
      <c r="E97" s="65"/>
      <c r="F97" s="344"/>
      <c r="H97" s="399">
        <v>4</v>
      </c>
      <c r="I97" s="357"/>
      <c r="J97" s="344"/>
      <c r="P97" s="400"/>
      <c r="Q97" s="57"/>
      <c r="R97" s="57"/>
    </row>
    <row r="98" spans="1:18" s="22" customFormat="1" ht="14">
      <c r="B9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98" s="399"/>
      <c r="D98" s="399"/>
      <c r="E98" s="343"/>
      <c r="F98" s="63"/>
      <c r="H98" s="399"/>
      <c r="I98" s="343" t="s">
        <v>911</v>
      </c>
      <c r="J98" s="63"/>
      <c r="P98" s="400"/>
      <c r="Q98" s="57"/>
      <c r="R98" s="57"/>
    </row>
    <row r="99" spans="1:18" s="22" customFormat="1" ht="14">
      <c r="A99" s="22">
        <v>38</v>
      </c>
      <c r="B99" s="401" t="str">
        <f>IF(A99="","",IF(INDEX('１×Ｍ'!$B$3:$J$45,MATCH($A99,'１×Ｍ'!$B$3:$B$45,),MATCH($B$5,'１×Ｍ'!$B$2:$J$2,))&lt;&gt;"",INDEX('１×Ｍ'!$B$3:$J$45,MATCH($A99,'１×Ｍ'!$B$3:$B$45,),MATCH($B$5,'１×Ｍ'!$B$2:$J$2,)),""))</f>
        <v>浜松湖南高校E</v>
      </c>
      <c r="C99" s="399" t="str">
        <f>IF(A99="","",IF(INDEX('１×Ｍ'!$B$3:$J$45,MATCH($A99,'１×Ｍ'!$B$3:$B$45,),MATCH($C$5,'１×Ｍ'!$B$2:$J$2,))&lt;&gt;"",INDEX('１×Ｍ'!$B$3:$J$45,MATCH($A99,'１×Ｍ'!$B$3:$B$45,),MATCH($C$5,'１×Ｍ'!$B$2:$J$2,)),""))</f>
        <v>山下</v>
      </c>
      <c r="D99" s="399">
        <v>5</v>
      </c>
      <c r="E99" s="62"/>
      <c r="F99" s="63"/>
      <c r="H99" s="399">
        <v>5</v>
      </c>
      <c r="I99" s="57"/>
      <c r="J99" s="63"/>
      <c r="P99" s="400"/>
      <c r="Q99" s="57"/>
      <c r="R99" s="57"/>
    </row>
    <row r="100" spans="1:18" s="22" customFormat="1" ht="14">
      <c r="B10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00" s="399"/>
      <c r="D100" s="399"/>
      <c r="E100" s="343"/>
      <c r="F100" s="57"/>
      <c r="H100" s="399"/>
      <c r="I100" s="343" t="s">
        <v>927</v>
      </c>
      <c r="J100" s="57"/>
      <c r="P100" s="400"/>
      <c r="Q100" s="57"/>
      <c r="R100" s="57"/>
    </row>
    <row r="101" spans="1:18" s="22" customFormat="1" ht="14">
      <c r="B101" s="401" t="str">
        <f>IF(A101="","",IF(INDEX('１×Ｍ'!$B$3:$J$45,MATCH($A101,'１×Ｍ'!$B$3:$B$45,),MATCH($B$5,'１×Ｍ'!$B$2:$J$2,))&lt;&gt;"",INDEX('１×Ｍ'!$B$3:$J$45,MATCH($A101,'１×Ｍ'!$B$3:$B$45,),MATCH($B$5,'１×Ｍ'!$B$2:$J$2,)),""))</f>
        <v/>
      </c>
      <c r="C101" s="399" t="str">
        <f>IF(A101="","",IF(INDEX('１×Ｍ'!$B$3:$J$45,MATCH($A101,'１×Ｍ'!$B$3:$B$45,),MATCH($C$5,'１×Ｍ'!$B$2:$J$2,))&lt;&gt;"",INDEX('１×Ｍ'!$B$3:$J$45,MATCH($A101,'１×Ｍ'!$B$3:$B$45,),MATCH($C$5,'１×Ｍ'!$B$2:$J$2,)),""))</f>
        <v/>
      </c>
      <c r="D101" s="399"/>
      <c r="E101" s="57"/>
      <c r="H101" s="399"/>
      <c r="I101" s="57"/>
      <c r="K101" s="57"/>
      <c r="P101" s="400"/>
      <c r="Q101" s="57"/>
      <c r="R101" s="57"/>
    </row>
    <row r="102" spans="1:18" s="22" customFormat="1" ht="14">
      <c r="B10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02" s="399"/>
      <c r="D102" s="399"/>
      <c r="H102" s="399"/>
      <c r="K102" s="57"/>
      <c r="P102" s="400"/>
      <c r="Q102" s="57"/>
      <c r="R102" s="57"/>
    </row>
    <row r="103" spans="1:18" s="22" customFormat="1" ht="14.5" customHeight="1">
      <c r="C103" s="52"/>
      <c r="D103" s="52"/>
      <c r="F103" s="66">
        <f>F89+1</f>
        <v>12</v>
      </c>
      <c r="H103" s="363"/>
      <c r="J103" s="66">
        <f>J89+1</f>
        <v>27</v>
      </c>
    </row>
    <row r="104" spans="1:18" s="22" customFormat="1" ht="14.5" customHeight="1">
      <c r="C104" s="52"/>
      <c r="D104" s="52"/>
      <c r="E104" s="22" t="s">
        <v>370</v>
      </c>
      <c r="F104" s="174">
        <f>VLOOKUP(F103,競漕日程!$A$4:$D$41,2)</f>
        <v>0.54027777777777797</v>
      </c>
      <c r="H104" s="55"/>
      <c r="I104" s="22" t="s">
        <v>370</v>
      </c>
      <c r="J104" s="174">
        <f>VLOOKUP(J103,競漕日程!$A$4:$D$41,2)</f>
        <v>0.66388888888888897</v>
      </c>
    </row>
    <row r="105" spans="1:18" s="22" customFormat="1" ht="14.5" customHeight="1">
      <c r="B105" s="401" t="str">
        <f>IF(A105="","",IF(INDEX('１×Ｍ'!$B$3:$J$45,MATCH($A105,'１×Ｍ'!$B$3:$B$45,),MATCH($B$5,'１×Ｍ'!$B$2:$J$2,))&lt;&gt;"",INDEX('１×Ｍ'!$B$3:$J$45,MATCH($A105,'１×Ｍ'!$B$3:$B$45,),MATCH($B$5,'１×Ｍ'!$B$2:$J$2,)),""))</f>
        <v/>
      </c>
      <c r="C105" s="399" t="str">
        <f>IF(A105="","",IF(INDEX('１×Ｍ'!$B$3:$J$45,MATCH($A105,'１×Ｍ'!$B$3:$B$45,),MATCH($C$5,'１×Ｍ'!$B$2:$J$2,))&lt;&gt;"",INDEX('１×Ｍ'!$B$3:$J$45,MATCH($A105,'１×Ｍ'!$B$3:$B$45,),MATCH($C$5,'１×Ｍ'!$B$2:$J$2,)),""))</f>
        <v/>
      </c>
      <c r="D105" s="399"/>
      <c r="E105" s="57"/>
      <c r="F105" s="57"/>
      <c r="H105" s="399"/>
      <c r="I105" s="57"/>
      <c r="J105" s="57"/>
    </row>
    <row r="106" spans="1:18" s="22" customFormat="1" ht="14.5" customHeight="1">
      <c r="B10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06" s="399"/>
      <c r="D106" s="399"/>
      <c r="E106" s="57"/>
      <c r="F106" s="57"/>
      <c r="H106" s="399"/>
      <c r="I106" s="57"/>
      <c r="J106" s="57"/>
    </row>
    <row r="107" spans="1:18" s="22" customFormat="1" ht="14.5" customHeight="1">
      <c r="A107" s="22">
        <v>33</v>
      </c>
      <c r="B107" s="401" t="str">
        <f>IF(A107="","",IF(INDEX('１×Ｍ'!$B$3:$J$45,MATCH($A107,'１×Ｍ'!$B$3:$B$45,),MATCH($B$5,'１×Ｍ'!$B$2:$J$2,))&lt;&gt;"",INDEX('１×Ｍ'!$B$3:$J$45,MATCH($A107,'１×Ｍ'!$B$3:$B$45,),MATCH($B$5,'１×Ｍ'!$B$2:$J$2,)),""))</f>
        <v>浜松大平台高校D</v>
      </c>
      <c r="C107" s="399" t="str">
        <f>IF(A107="","",IF(INDEX('１×Ｍ'!$B$3:$J$45,MATCH($A107,'１×Ｍ'!$B$3:$B$45,),MATCH($C$5,'１×Ｍ'!$B$2:$J$2,))&lt;&gt;"",INDEX('１×Ｍ'!$B$3:$J$45,MATCH($A107,'１×Ｍ'!$B$3:$B$45,),MATCH($C$5,'１×Ｍ'!$B$2:$J$2,)),""))</f>
        <v>松元</v>
      </c>
      <c r="D107" s="399">
        <v>2</v>
      </c>
      <c r="E107" s="357"/>
      <c r="F107" s="57"/>
      <c r="H107" s="399">
        <v>2</v>
      </c>
      <c r="I107" s="357"/>
      <c r="J107" s="57"/>
    </row>
    <row r="108" spans="1:18" s="22" customFormat="1" ht="14.5" customHeight="1">
      <c r="B10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08" s="399"/>
      <c r="D108" s="399"/>
      <c r="E108" s="57"/>
      <c r="F108" s="63"/>
      <c r="H108" s="399"/>
      <c r="I108" s="62" t="s">
        <v>925</v>
      </c>
      <c r="J108" s="63"/>
    </row>
    <row r="109" spans="1:18" s="22" customFormat="1" ht="14.5" customHeight="1">
      <c r="A109" s="22">
        <v>34</v>
      </c>
      <c r="B109" s="401" t="str">
        <f>IF(A109="","",IF(INDEX('１×Ｍ'!$B$3:$J$45,MATCH($A109,'１×Ｍ'!$B$3:$B$45,),MATCH($B$5,'１×Ｍ'!$B$2:$J$2,))&lt;&gt;"",INDEX('１×Ｍ'!$B$3:$J$45,MATCH($A109,'１×Ｍ'!$B$3:$B$45,),MATCH($B$5,'１×Ｍ'!$B$2:$J$2,)),""))</f>
        <v>浜松湖南高校A</v>
      </c>
      <c r="C109" s="399" t="str">
        <f>IF(A109="","",IF(INDEX('１×Ｍ'!$B$3:$J$45,MATCH($A109,'１×Ｍ'!$B$3:$B$45,),MATCH($C$5,'１×Ｍ'!$B$2:$J$2,))&lt;&gt;"",INDEX('１×Ｍ'!$B$3:$J$45,MATCH($A109,'１×Ｍ'!$B$3:$B$45,),MATCH($C$5,'１×Ｍ'!$B$2:$J$2,)),""))</f>
        <v>星山</v>
      </c>
      <c r="D109" s="399">
        <v>3</v>
      </c>
      <c r="E109" s="57"/>
      <c r="F109" s="63"/>
      <c r="H109" s="399">
        <v>3</v>
      </c>
      <c r="I109" s="57"/>
      <c r="J109" s="63"/>
    </row>
    <row r="110" spans="1:18" s="22" customFormat="1" ht="14.25" customHeight="1">
      <c r="B11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10" s="399"/>
      <c r="D110" s="399"/>
      <c r="E110" s="61"/>
      <c r="F110" s="345"/>
      <c r="H110" s="399"/>
      <c r="I110" s="343" t="s">
        <v>909</v>
      </c>
      <c r="J110" s="345"/>
    </row>
    <row r="111" spans="1:18" s="22" customFormat="1" ht="14.5" customHeight="1">
      <c r="A111" s="22">
        <v>21</v>
      </c>
      <c r="B111" s="401" t="str">
        <f>IF(A111="","",IF(INDEX('１×Ｍ'!$B$3:$J$45,MATCH($A111,'１×Ｍ'!$B$3:$B$45,),MATCH($B$5,'１×Ｍ'!$B$2:$J$2,))&lt;&gt;"",INDEX('１×Ｍ'!$B$3:$J$45,MATCH($A111,'１×Ｍ'!$B$3:$B$45,),MATCH($B$5,'１×Ｍ'!$B$2:$J$2,)),""))</f>
        <v>天竜高校B</v>
      </c>
      <c r="C111" s="399" t="str">
        <f>IF(A111="","",IF(INDEX('１×Ｍ'!$B$3:$J$45,MATCH($A111,'１×Ｍ'!$B$3:$B$45,),MATCH($C$5,'１×Ｍ'!$B$2:$J$2,))&lt;&gt;"",INDEX('１×Ｍ'!$B$3:$J$45,MATCH($A111,'１×Ｍ'!$B$3:$B$45,),MATCH($C$5,'１×Ｍ'!$B$2:$J$2,)),""))</f>
        <v>髙橋</v>
      </c>
      <c r="D111" s="399">
        <v>4</v>
      </c>
      <c r="E111" s="65"/>
      <c r="F111" s="344"/>
      <c r="H111" s="399">
        <v>4</v>
      </c>
      <c r="I111" s="357"/>
      <c r="J111" s="344"/>
    </row>
    <row r="112" spans="1:18" s="22" customFormat="1" ht="14.5" customHeight="1">
      <c r="B11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12" s="399"/>
      <c r="D112" s="399"/>
      <c r="E112" s="343"/>
      <c r="F112" s="63"/>
      <c r="H112" s="399"/>
      <c r="I112" s="343" t="s">
        <v>910</v>
      </c>
      <c r="J112" s="63"/>
    </row>
    <row r="113" spans="1:18" s="22" customFormat="1" ht="14.5" customHeight="1">
      <c r="A113" s="22">
        <v>13</v>
      </c>
      <c r="B113" s="401" t="str">
        <f>IF(A113="","",IF(INDEX('１×Ｍ'!$B$3:$J$45,MATCH($A113,'１×Ｍ'!$B$3:$B$45,),MATCH($B$5,'１×Ｍ'!$B$2:$J$2,))&lt;&gt;"",INDEX('１×Ｍ'!$B$3:$J$45,MATCH($A113,'１×Ｍ'!$B$3:$B$45,),MATCH($B$5,'１×Ｍ'!$B$2:$J$2,)),""))</f>
        <v>新居高校E</v>
      </c>
      <c r="C113" s="399" t="str">
        <f>IF(A113="","",IF(INDEX('１×Ｍ'!$B$3:$J$45,MATCH($A113,'１×Ｍ'!$B$3:$B$45,),MATCH($C$5,'１×Ｍ'!$B$2:$J$2,))&lt;&gt;"",INDEX('１×Ｍ'!$B$3:$J$45,MATCH($A113,'１×Ｍ'!$B$3:$B$45,),MATCH($C$5,'１×Ｍ'!$B$2:$J$2,)),""))</f>
        <v>藤田</v>
      </c>
      <c r="D113" s="399">
        <v>5</v>
      </c>
      <c r="E113" s="62"/>
      <c r="F113" s="63"/>
      <c r="H113" s="399">
        <v>5</v>
      </c>
      <c r="I113" s="57"/>
      <c r="J113" s="63"/>
    </row>
    <row r="114" spans="1:18" s="22" customFormat="1" ht="14.5" customHeight="1">
      <c r="B11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14" s="399"/>
      <c r="D114" s="399"/>
      <c r="E114" s="343"/>
      <c r="F114" s="57"/>
      <c r="H114" s="399"/>
      <c r="I114" s="343" t="s">
        <v>926</v>
      </c>
      <c r="J114" s="57"/>
    </row>
    <row r="115" spans="1:18" s="22" customFormat="1" ht="14.5" customHeight="1">
      <c r="B115" s="401" t="str">
        <f>IF(A115="","",IF(INDEX('１×Ｍ'!$B$3:$J$45,MATCH($A115,'１×Ｍ'!$B$3:$B$45,),MATCH($B$5,'１×Ｍ'!$B$2:$J$2,))&lt;&gt;"",INDEX('１×Ｍ'!$B$3:$J$45,MATCH($A115,'１×Ｍ'!$B$3:$B$45,),MATCH($B$5,'１×Ｍ'!$B$2:$J$2,)),""))</f>
        <v/>
      </c>
      <c r="C115" s="399" t="str">
        <f>IF(A115="","",IF(INDEX('１×Ｍ'!$B$3:$J$45,MATCH($A115,'１×Ｍ'!$B$3:$B$45,),MATCH($C$5,'１×Ｍ'!$B$2:$J$2,))&lt;&gt;"",INDEX('１×Ｍ'!$B$3:$J$45,MATCH($A115,'１×Ｍ'!$B$3:$B$45,),MATCH($C$5,'１×Ｍ'!$B$2:$J$2,)),""))</f>
        <v/>
      </c>
      <c r="D115" s="399"/>
      <c r="E115" s="57"/>
      <c r="H115" s="399"/>
      <c r="I115" s="57"/>
    </row>
    <row r="116" spans="1:18" s="22" customFormat="1" ht="14.5" customHeight="1">
      <c r="B11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16" s="399"/>
      <c r="D116" s="399"/>
      <c r="H116" s="399"/>
    </row>
    <row r="117" spans="1:18" s="22" customFormat="1" ht="14">
      <c r="C117" s="52"/>
      <c r="D117" s="52"/>
      <c r="F117" s="66">
        <f>F103+1</f>
        <v>13</v>
      </c>
      <c r="H117" s="361"/>
      <c r="I117" s="57"/>
      <c r="J117" s="199"/>
      <c r="K117" s="55"/>
      <c r="P117" s="57"/>
      <c r="Q117" s="57"/>
      <c r="R117" s="105"/>
    </row>
    <row r="118" spans="1:18" s="22" customFormat="1" ht="14">
      <c r="C118" s="52"/>
      <c r="D118" s="52"/>
      <c r="E118" s="22" t="s">
        <v>900</v>
      </c>
      <c r="F118" s="174">
        <f>VLOOKUP(F117,競漕日程!$A$4:$D$41,2)</f>
        <v>0.54583333333333295</v>
      </c>
      <c r="H118" s="55"/>
      <c r="J118" s="174"/>
      <c r="K118" s="175"/>
      <c r="P118" s="57"/>
      <c r="Q118" s="55"/>
      <c r="R118" s="69"/>
    </row>
    <row r="119" spans="1:18" s="22" customFormat="1" ht="14">
      <c r="B119" s="401" t="str">
        <f>IF(A119="","",IF(INDEX('１×Ｍ'!$B$3:$J$45,MATCH($A119,'１×Ｍ'!$B$3:$B$45,),MATCH($B$5,'１×Ｍ'!$B$2:$J$2,))&lt;&gt;"",INDEX('１×Ｍ'!$B$3:$J$45,MATCH($A119,'１×Ｍ'!$B$3:$B$45,),MATCH($B$5,'１×Ｍ'!$B$2:$J$2,)),""))</f>
        <v/>
      </c>
      <c r="C119" s="399" t="str">
        <f>IF(A119="","",IF(INDEX('１×Ｍ'!$B$3:$J$45,MATCH($A119,'１×Ｍ'!$B$3:$B$45,),MATCH($C$5,'１×Ｍ'!$B$2:$J$2,))&lt;&gt;"",INDEX('１×Ｍ'!$B$3:$J$45,MATCH($A119,'１×Ｍ'!$B$3:$B$45,),MATCH($C$5,'１×Ｍ'!$B$2:$J$2,)),""))</f>
        <v/>
      </c>
      <c r="D119" s="399"/>
      <c r="E119" s="57"/>
      <c r="F119" s="57"/>
      <c r="H119" s="399"/>
      <c r="I119" s="57"/>
      <c r="J119" s="57"/>
      <c r="P119" s="400"/>
      <c r="Q119" s="57"/>
      <c r="R119" s="58"/>
    </row>
    <row r="120" spans="1:18" s="22" customFormat="1" ht="14">
      <c r="B12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20" s="399"/>
      <c r="D120" s="399"/>
      <c r="E120" s="57"/>
      <c r="F120" s="57"/>
      <c r="H120" s="399"/>
      <c r="I120" s="57"/>
      <c r="J120" s="57"/>
      <c r="P120" s="400"/>
      <c r="Q120" s="57"/>
      <c r="R120" s="58"/>
    </row>
    <row r="121" spans="1:18" s="22" customFormat="1" ht="14">
      <c r="A121" s="22">
        <v>37</v>
      </c>
      <c r="B121" s="401" t="str">
        <f>IF(A121="","",IF(INDEX('１×Ｍ'!$B$3:$J$45,MATCH($A121,'１×Ｍ'!$B$3:$B$45,),MATCH($B$5,'１×Ｍ'!$B$2:$J$2,))&lt;&gt;"",INDEX('１×Ｍ'!$B$3:$J$45,MATCH($A121,'１×Ｍ'!$B$3:$B$45,),MATCH($B$5,'１×Ｍ'!$B$2:$J$2,)),""))</f>
        <v>浜松湖南高校D</v>
      </c>
      <c r="C121" s="399" t="str">
        <f>IF(A121="","",IF(INDEX('１×Ｍ'!$B$3:$J$45,MATCH($A121,'１×Ｍ'!$B$3:$B$45,),MATCH($C$5,'１×Ｍ'!$B$2:$J$2,))&lt;&gt;"",INDEX('１×Ｍ'!$B$3:$J$45,MATCH($A121,'１×Ｍ'!$B$3:$B$45,),MATCH($C$5,'１×Ｍ'!$B$2:$J$2,)),""))</f>
        <v>松島</v>
      </c>
      <c r="D121" s="399">
        <v>2</v>
      </c>
      <c r="E121" s="357"/>
      <c r="F121" s="57"/>
      <c r="H121" s="400"/>
      <c r="I121" s="57"/>
      <c r="J121" s="57"/>
      <c r="P121" s="400"/>
      <c r="Q121" s="57"/>
      <c r="R121" s="58"/>
    </row>
    <row r="122" spans="1:18" s="22" customFormat="1" ht="14">
      <c r="B12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22" s="399"/>
      <c r="D122" s="399"/>
      <c r="E122" s="57"/>
      <c r="F122" s="63"/>
      <c r="H122" s="400"/>
      <c r="I122" s="57"/>
      <c r="J122" s="57"/>
      <c r="P122" s="400"/>
      <c r="Q122" s="57"/>
      <c r="R122" s="58"/>
    </row>
    <row r="123" spans="1:18" s="22" customFormat="1" ht="14">
      <c r="A123" s="22">
        <v>39</v>
      </c>
      <c r="B123" s="401" t="str">
        <f>IF(A123="","",IF(INDEX('１×Ｍ'!$B$3:$J$45,MATCH($A123,'１×Ｍ'!$B$3:$B$45,),MATCH($B$5,'１×Ｍ'!$B$2:$J$2,))&lt;&gt;"",INDEX('１×Ｍ'!$B$3:$J$45,MATCH($A123,'１×Ｍ'!$B$3:$B$45,),MATCH($B$5,'１×Ｍ'!$B$2:$J$2,)),""))</f>
        <v>浜松北高校A</v>
      </c>
      <c r="C123" s="399" t="str">
        <f>IF(A123="","",IF(INDEX('１×Ｍ'!$B$3:$J$45,MATCH($A123,'１×Ｍ'!$B$3:$B$45,),MATCH($C$5,'１×Ｍ'!$B$2:$J$2,))&lt;&gt;"",INDEX('１×Ｍ'!$B$3:$J$45,MATCH($A123,'１×Ｍ'!$B$3:$B$45,),MATCH($C$5,'１×Ｍ'!$B$2:$J$2,)),""))</f>
        <v>福田</v>
      </c>
      <c r="D123" s="399">
        <v>3</v>
      </c>
      <c r="E123" s="57"/>
      <c r="F123" s="63"/>
      <c r="H123" s="400"/>
      <c r="I123" s="57"/>
      <c r="J123" s="57"/>
      <c r="P123" s="400"/>
      <c r="Q123" s="57"/>
      <c r="R123" s="57"/>
    </row>
    <row r="124" spans="1:18" s="22" customFormat="1" ht="14">
      <c r="B12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24" s="399"/>
      <c r="D124" s="399"/>
      <c r="E124" s="61"/>
      <c r="F124" s="345"/>
      <c r="H124" s="400"/>
      <c r="I124" s="57"/>
      <c r="J124" s="57"/>
      <c r="P124" s="400"/>
      <c r="Q124" s="57"/>
      <c r="R124" s="57"/>
    </row>
    <row r="125" spans="1:18" s="22" customFormat="1" ht="14">
      <c r="A125" s="22">
        <v>10</v>
      </c>
      <c r="B125" s="401" t="str">
        <f>IF(A125="","",IF(INDEX('１×Ｍ'!$B$3:$J$45,MATCH($A125,'１×Ｍ'!$B$3:$B$45,),MATCH($B$5,'１×Ｍ'!$B$2:$J$2,))&lt;&gt;"",INDEX('１×Ｍ'!$B$3:$J$45,MATCH($A125,'１×Ｍ'!$B$3:$B$45,),MATCH($B$5,'１×Ｍ'!$B$2:$J$2,)),""))</f>
        <v>新居高校B</v>
      </c>
      <c r="C125" s="399" t="str">
        <f>IF(A125="","",IF(INDEX('１×Ｍ'!$B$3:$J$45,MATCH($A125,'１×Ｍ'!$B$3:$B$45,),MATCH($C$5,'１×Ｍ'!$B$2:$J$2,))&lt;&gt;"",INDEX('１×Ｍ'!$B$3:$J$45,MATCH($A125,'１×Ｍ'!$B$3:$B$45,),MATCH($C$5,'１×Ｍ'!$B$2:$J$2,)),""))</f>
        <v>河野</v>
      </c>
      <c r="D125" s="399">
        <v>4</v>
      </c>
      <c r="E125" s="65"/>
      <c r="F125" s="344"/>
      <c r="H125" s="400"/>
      <c r="I125" s="57"/>
      <c r="J125" s="57"/>
      <c r="P125" s="400"/>
      <c r="Q125" s="57"/>
      <c r="R125" s="57"/>
    </row>
    <row r="126" spans="1:18" s="22" customFormat="1" ht="14">
      <c r="B12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26" s="399"/>
      <c r="D126" s="399"/>
      <c r="E126" s="343"/>
      <c r="F126" s="63"/>
      <c r="H126" s="400"/>
      <c r="I126" s="57"/>
      <c r="J126" s="57"/>
      <c r="P126" s="400"/>
      <c r="Q126" s="57"/>
      <c r="R126" s="57"/>
    </row>
    <row r="127" spans="1:18" s="22" customFormat="1" ht="14">
      <c r="A127" s="22">
        <v>24</v>
      </c>
      <c r="B127" s="401" t="str">
        <f>IF(A127="","",IF(INDEX('１×Ｍ'!$B$3:$J$45,MATCH($A127,'１×Ｍ'!$B$3:$B$45,),MATCH($B$5,'１×Ｍ'!$B$2:$J$2,))&lt;&gt;"",INDEX('１×Ｍ'!$B$3:$J$45,MATCH($A127,'１×Ｍ'!$B$3:$B$45,),MATCH($B$5,'１×Ｍ'!$B$2:$J$2,)),""))</f>
        <v>天竜高校E</v>
      </c>
      <c r="C127" s="399" t="str">
        <f>IF(A127="","",IF(INDEX('１×Ｍ'!$B$3:$J$45,MATCH($A127,'１×Ｍ'!$B$3:$B$45,),MATCH($C$5,'１×Ｍ'!$B$2:$J$2,))&lt;&gt;"",INDEX('１×Ｍ'!$B$3:$J$45,MATCH($A127,'１×Ｍ'!$B$3:$B$45,),MATCH($C$5,'１×Ｍ'!$B$2:$J$2,)),""))</f>
        <v>大橋</v>
      </c>
      <c r="D127" s="399">
        <v>5</v>
      </c>
      <c r="E127" s="62"/>
      <c r="F127" s="63"/>
      <c r="H127" s="400"/>
      <c r="I127" s="57"/>
      <c r="J127" s="57"/>
      <c r="P127" s="400"/>
      <c r="Q127" s="57"/>
      <c r="R127" s="57"/>
    </row>
    <row r="128" spans="1:18" s="22" customFormat="1" ht="14">
      <c r="B12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28" s="399"/>
      <c r="D128" s="399"/>
      <c r="E128" s="343"/>
      <c r="F128" s="57"/>
      <c r="H128" s="400"/>
      <c r="I128" s="57"/>
      <c r="J128" s="57"/>
      <c r="P128" s="400"/>
      <c r="Q128" s="57"/>
      <c r="R128" s="57"/>
    </row>
    <row r="129" spans="1:18" s="22" customFormat="1" ht="14">
      <c r="B129" s="401" t="str">
        <f>IF(A129="","",IF(INDEX('１×Ｍ'!$B$3:$J$45,MATCH($A129,'１×Ｍ'!$B$3:$B$45,),MATCH($B$5,'１×Ｍ'!$B$2:$J$2,))&lt;&gt;"",INDEX('１×Ｍ'!$B$3:$J$45,MATCH($A129,'１×Ｍ'!$B$3:$B$45,),MATCH($B$5,'１×Ｍ'!$B$2:$J$2,)),""))</f>
        <v/>
      </c>
      <c r="C129" s="399" t="str">
        <f>IF(A129="","",IF(INDEX('１×Ｍ'!$B$3:$J$45,MATCH($A129,'１×Ｍ'!$B$3:$B$45,),MATCH($C$5,'１×Ｍ'!$B$2:$J$2,))&lt;&gt;"",INDEX('１×Ｍ'!$B$3:$J$45,MATCH($A129,'１×Ｍ'!$B$3:$B$45,),MATCH($C$5,'１×Ｍ'!$B$2:$J$2,)),""))</f>
        <v/>
      </c>
      <c r="D129" s="399"/>
      <c r="E129" s="57"/>
      <c r="H129" s="399"/>
      <c r="I129" s="57"/>
      <c r="K129" s="57"/>
      <c r="P129" s="400"/>
      <c r="Q129" s="57"/>
      <c r="R129" s="57"/>
    </row>
    <row r="130" spans="1:18" s="22" customFormat="1" ht="14">
      <c r="B13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30" s="399"/>
      <c r="D130" s="399"/>
      <c r="H130" s="399"/>
      <c r="K130" s="57"/>
      <c r="P130" s="400"/>
      <c r="Q130" s="57"/>
      <c r="R130" s="57"/>
    </row>
    <row r="131" spans="1:18" s="22" customFormat="1" ht="14.5" customHeight="1">
      <c r="C131" s="52"/>
      <c r="D131" s="52"/>
      <c r="F131" s="66">
        <f>F117+1</f>
        <v>14</v>
      </c>
      <c r="H131" s="362"/>
    </row>
    <row r="132" spans="1:18" s="22" customFormat="1" ht="14.5" customHeight="1">
      <c r="C132" s="52"/>
      <c r="D132" s="52"/>
      <c r="E132" s="22" t="s">
        <v>901</v>
      </c>
      <c r="F132" s="174">
        <f>VLOOKUP(F131,競漕日程!$A$4:$D$41,2)</f>
        <v>0.55138888888888904</v>
      </c>
      <c r="H132" s="362"/>
    </row>
    <row r="133" spans="1:18" s="22" customFormat="1" ht="14.5" customHeight="1">
      <c r="B133" s="401" t="str">
        <f>IF(A133="","",IF(INDEX('１×Ｍ'!$B$3:$J$45,MATCH($A133,'１×Ｍ'!$B$3:$B$45,),MATCH($B$5,'１×Ｍ'!$B$2:$J$2,))&lt;&gt;"",INDEX('１×Ｍ'!$B$3:$J$45,MATCH($A133,'１×Ｍ'!$B$3:$B$45,),MATCH($B$5,'１×Ｍ'!$B$2:$J$2,)),""))</f>
        <v/>
      </c>
      <c r="C133" s="399" t="str">
        <f>IF(A133="","",IF(INDEX('１×Ｍ'!$B$3:$J$45,MATCH($A133,'１×Ｍ'!$B$3:$B$45,),MATCH($C$5,'１×Ｍ'!$B$2:$J$2,))&lt;&gt;"",INDEX('１×Ｍ'!$B$3:$J$45,MATCH($A133,'１×Ｍ'!$B$3:$B$45,),MATCH($C$5,'１×Ｍ'!$B$2:$J$2,)),""))</f>
        <v/>
      </c>
      <c r="D133" s="399"/>
      <c r="E133" s="57"/>
      <c r="F133" s="57"/>
      <c r="H133" s="362"/>
    </row>
    <row r="134" spans="1:18" s="22" customFormat="1" ht="14.5" customHeight="1">
      <c r="B13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34" s="399"/>
      <c r="D134" s="399"/>
      <c r="E134" s="57"/>
      <c r="F134" s="57"/>
      <c r="H134" s="362"/>
    </row>
    <row r="135" spans="1:18" s="22" customFormat="1" ht="14.5" customHeight="1">
      <c r="A135" s="22">
        <v>42</v>
      </c>
      <c r="B135" s="401" t="str">
        <f>IF(A135="","",IF(INDEX('１×Ｍ'!$B$3:$J$45,MATCH($A135,'１×Ｍ'!$B$3:$B$45,),MATCH($B$5,'１×Ｍ'!$B$2:$J$2,))&lt;&gt;"",INDEX('１×Ｍ'!$B$3:$J$45,MATCH($A135,'１×Ｍ'!$B$3:$B$45,),MATCH($B$5,'１×Ｍ'!$B$2:$J$2,)),""))</f>
        <v>浜松北高校D</v>
      </c>
      <c r="C135" s="399" t="str">
        <f>IF(A135="","",IF(INDEX('１×Ｍ'!$B$3:$J$45,MATCH($A135,'１×Ｍ'!$B$3:$B$45,),MATCH($C$5,'１×Ｍ'!$B$2:$J$2,))&lt;&gt;"",INDEX('１×Ｍ'!$B$3:$J$45,MATCH($A135,'１×Ｍ'!$B$3:$B$45,),MATCH($C$5,'１×Ｍ'!$B$2:$J$2,)),""))</f>
        <v>白柳</v>
      </c>
      <c r="D135" s="399">
        <v>2</v>
      </c>
      <c r="E135" s="357"/>
      <c r="F135" s="57"/>
      <c r="H135" s="362"/>
    </row>
    <row r="136" spans="1:18" s="22" customFormat="1" ht="14.5" customHeight="1">
      <c r="B136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36" s="399"/>
      <c r="D136" s="399"/>
      <c r="E136" s="57"/>
      <c r="F136" s="63"/>
      <c r="H136" s="362"/>
    </row>
    <row r="137" spans="1:18" s="22" customFormat="1" ht="14.5" customHeight="1">
      <c r="A137" s="22">
        <v>3</v>
      </c>
      <c r="B137" s="401" t="str">
        <f>IF(A137="","",IF(INDEX('１×Ｍ'!$B$3:$J$45,MATCH($A137,'１×Ｍ'!$B$3:$B$45,),MATCH($B$5,'１×Ｍ'!$B$2:$J$2,))&lt;&gt;"",INDEX('１×Ｍ'!$B$3:$J$45,MATCH($A137,'１×Ｍ'!$B$3:$B$45,),MATCH($B$5,'１×Ｍ'!$B$2:$J$2,)),""))</f>
        <v>沼津工業高校B</v>
      </c>
      <c r="C137" s="399" t="str">
        <f>IF(A137="","",IF(INDEX('１×Ｍ'!$B$3:$J$45,MATCH($A137,'１×Ｍ'!$B$3:$B$45,),MATCH($C$5,'１×Ｍ'!$B$2:$J$2,))&lt;&gt;"",INDEX('１×Ｍ'!$B$3:$J$45,MATCH($A137,'１×Ｍ'!$B$3:$B$45,),MATCH($C$5,'１×Ｍ'!$B$2:$J$2,)),""))</f>
        <v>牧本</v>
      </c>
      <c r="D137" s="399">
        <v>3</v>
      </c>
      <c r="E137" s="57"/>
      <c r="F137" s="63"/>
      <c r="H137" s="362"/>
    </row>
    <row r="138" spans="1:18" s="22" customFormat="1" ht="14.25" customHeight="1">
      <c r="B138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38" s="399"/>
      <c r="D138" s="399"/>
      <c r="E138" s="61"/>
      <c r="F138" s="345"/>
      <c r="H138" s="362"/>
    </row>
    <row r="139" spans="1:18" s="22" customFormat="1" ht="14.5" customHeight="1">
      <c r="A139" s="22">
        <v>7</v>
      </c>
      <c r="B139" s="401" t="str">
        <f>IF(A139="","",IF(INDEX('１×Ｍ'!$B$3:$J$45,MATCH($A139,'１×Ｍ'!$B$3:$B$45,),MATCH($B$5,'１×Ｍ'!$B$2:$J$2,))&lt;&gt;"",INDEX('１×Ｍ'!$B$3:$J$45,MATCH($A139,'１×Ｍ'!$B$3:$B$45,),MATCH($B$5,'１×Ｍ'!$B$2:$J$2,)),""))</f>
        <v>湖西高校B</v>
      </c>
      <c r="C139" s="399" t="str">
        <f>IF(A139="","",IF(INDEX('１×Ｍ'!$B$3:$J$45,MATCH($A139,'１×Ｍ'!$B$3:$B$45,),MATCH($C$5,'１×Ｍ'!$B$2:$J$2,))&lt;&gt;"",INDEX('１×Ｍ'!$B$3:$J$45,MATCH($A139,'１×Ｍ'!$B$3:$B$45,),MATCH($C$5,'１×Ｍ'!$B$2:$J$2,)),""))</f>
        <v>守屋</v>
      </c>
      <c r="D139" s="399">
        <v>4</v>
      </c>
      <c r="E139" s="65"/>
      <c r="F139" s="344"/>
      <c r="H139" s="362"/>
    </row>
    <row r="140" spans="1:18" s="22" customFormat="1" ht="14.5" customHeight="1">
      <c r="B140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40" s="399"/>
      <c r="D140" s="399"/>
      <c r="E140" s="343"/>
      <c r="F140" s="63"/>
      <c r="H140" s="362"/>
    </row>
    <row r="141" spans="1:18" s="22" customFormat="1" ht="14.5" customHeight="1">
      <c r="A141" s="22">
        <v>12</v>
      </c>
      <c r="B141" s="401" t="str">
        <f>IF(A141="","",IF(INDEX('１×Ｍ'!$B$3:$J$45,MATCH($A141,'１×Ｍ'!$B$3:$B$45,),MATCH($B$5,'１×Ｍ'!$B$2:$J$2,))&lt;&gt;"",INDEX('１×Ｍ'!$B$3:$J$45,MATCH($A141,'１×Ｍ'!$B$3:$B$45,),MATCH($B$5,'１×Ｍ'!$B$2:$J$2,)),""))</f>
        <v>新居高校D</v>
      </c>
      <c r="C141" s="399" t="str">
        <f>IF(A141="","",IF(INDEX('１×Ｍ'!$B$3:$J$45,MATCH($A141,'１×Ｍ'!$B$3:$B$45,),MATCH($C$5,'１×Ｍ'!$B$2:$J$2,))&lt;&gt;"",INDEX('１×Ｍ'!$B$3:$J$45,MATCH($A141,'１×Ｍ'!$B$3:$B$45,),MATCH($C$5,'１×Ｍ'!$B$2:$J$2,)),""))</f>
        <v>髙野</v>
      </c>
      <c r="D141" s="399">
        <v>5</v>
      </c>
      <c r="E141" s="62"/>
      <c r="F141" s="63"/>
      <c r="H141" s="362"/>
    </row>
    <row r="142" spans="1:18" s="22" customFormat="1" ht="14.5" customHeight="1">
      <c r="B142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42" s="399"/>
      <c r="D142" s="399"/>
      <c r="E142" s="343"/>
      <c r="F142" s="57"/>
      <c r="H142" s="362"/>
    </row>
    <row r="143" spans="1:18" s="22" customFormat="1" ht="14.5" customHeight="1">
      <c r="B143" s="401" t="str">
        <f>IF(A143="","",IF(INDEX('１×Ｍ'!$B$3:$J$45,MATCH($A143,'１×Ｍ'!$B$3:$B$45,),MATCH($B$5,'１×Ｍ'!$B$2:$J$2,))&lt;&gt;"",INDEX('１×Ｍ'!$B$3:$J$45,MATCH($A143,'１×Ｍ'!$B$3:$B$45,),MATCH($B$5,'１×Ｍ'!$B$2:$J$2,)),""))</f>
        <v/>
      </c>
      <c r="C143" s="399" t="str">
        <f>IF(A143="","",IF(INDEX('１×Ｍ'!$B$3:$J$45,MATCH($A143,'１×Ｍ'!$B$3:$B$45,),MATCH($C$5,'１×Ｍ'!$B$2:$J$2,))&lt;&gt;"",INDEX('１×Ｍ'!$B$3:$J$45,MATCH($A143,'１×Ｍ'!$B$3:$B$45,),MATCH($C$5,'１×Ｍ'!$B$2:$J$2,)),""))</f>
        <v/>
      </c>
      <c r="D143" s="399"/>
      <c r="E143" s="57"/>
      <c r="H143" s="362"/>
    </row>
    <row r="144" spans="1:18" s="22" customFormat="1" ht="14.5" customHeight="1">
      <c r="B144" s="401" t="e">
        <f>IF(INDEX('１×Ｍ'!$B$2:$J$30,MATCH($A$5,'１×Ｍ'!$B$3:$B$30,),MATCH(#REF!,'１×Ｍ'!$B$2:$J$2,))&lt;&gt;"",INDEX('１×Ｍ'!$B$3:$J$30,MATCH($A$5,'１×Ｍ'!$B$3:$B$30,),MATCH(#REF!,'１×Ｍ'!$B$2:$J$2,)),"")</f>
        <v>#N/A</v>
      </c>
      <c r="C144" s="399"/>
      <c r="D144" s="399"/>
      <c r="H144" s="362"/>
    </row>
    <row r="145" spans="1:19" s="22" customFormat="1" ht="14.5" customHeight="1">
      <c r="B145" s="364"/>
      <c r="C145" s="362"/>
      <c r="D145" s="362"/>
      <c r="H145" s="362"/>
    </row>
    <row r="146" spans="1:19" s="22" customFormat="1" ht="14">
      <c r="B146" s="49" t="s">
        <v>74</v>
      </c>
      <c r="C146" s="50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O146" s="49"/>
      <c r="P146" s="49"/>
      <c r="Q146" s="49"/>
      <c r="R146" s="49"/>
    </row>
    <row r="147" spans="1:19" s="22" customFormat="1" ht="14">
      <c r="B147" s="51" t="s">
        <v>0</v>
      </c>
      <c r="C147" s="50"/>
      <c r="F147" s="53"/>
      <c r="H147" s="17"/>
    </row>
    <row r="148" spans="1:19" s="22" customFormat="1" ht="14">
      <c r="B148" s="51" t="s">
        <v>73</v>
      </c>
      <c r="C148" s="50"/>
      <c r="D148" s="52"/>
      <c r="F148" s="53"/>
      <c r="L148" s="57"/>
      <c r="M148" s="57"/>
      <c r="N148" s="57"/>
    </row>
    <row r="149" spans="1:19" s="22" customFormat="1" ht="14">
      <c r="C149" s="52"/>
      <c r="D149" s="52"/>
      <c r="E149" s="22" t="s">
        <v>57</v>
      </c>
      <c r="F149" s="53"/>
      <c r="I149" s="22" t="s">
        <v>126</v>
      </c>
      <c r="L149" s="57"/>
      <c r="M149" s="57"/>
      <c r="N149" s="57"/>
      <c r="O149" s="57"/>
      <c r="Q149" s="55" t="s">
        <v>53</v>
      </c>
      <c r="R149" s="55"/>
      <c r="S149" s="55"/>
    </row>
    <row r="150" spans="1:19" s="22" customFormat="1" ht="14">
      <c r="B150" s="22" t="s">
        <v>72</v>
      </c>
      <c r="C150" s="1" t="s">
        <v>112</v>
      </c>
      <c r="D150" s="52" t="s">
        <v>52</v>
      </c>
      <c r="E150" s="79">
        <v>44660</v>
      </c>
      <c r="F150" s="52">
        <v>15</v>
      </c>
      <c r="H150" s="52" t="s">
        <v>2</v>
      </c>
      <c r="I150" s="79">
        <v>44661</v>
      </c>
      <c r="J150" s="52">
        <v>28</v>
      </c>
      <c r="L150" s="105"/>
      <c r="M150" s="80"/>
      <c r="N150" s="105"/>
      <c r="O150" s="57"/>
      <c r="P150" s="22" t="s">
        <v>131</v>
      </c>
      <c r="Q150" s="79">
        <v>44661</v>
      </c>
      <c r="R150" s="52">
        <v>36</v>
      </c>
      <c r="S150" s="55"/>
    </row>
    <row r="151" spans="1:19" s="22" customFormat="1" ht="14">
      <c r="C151" s="52"/>
      <c r="D151" s="52"/>
      <c r="E151" s="22" t="s">
        <v>84</v>
      </c>
      <c r="F151" s="174">
        <f>VLOOKUP(F150,競漕日程!$A$4:$D$41,2)</f>
        <v>0.59722222222222221</v>
      </c>
      <c r="J151" s="174">
        <f>VLOOKUP(J150,競漕日程!$A$4:$D$41,2)</f>
        <v>0.375</v>
      </c>
      <c r="K151" s="166"/>
      <c r="L151" s="57"/>
      <c r="M151" s="57"/>
      <c r="N151" s="69"/>
      <c r="O151" s="55"/>
      <c r="R151" s="174">
        <f>VLOOKUP(R150,競漕日程!$A$4:$D$49,2)</f>
        <v>0.5</v>
      </c>
      <c r="S151" s="58"/>
    </row>
    <row r="152" spans="1:19" s="22" customFormat="1" ht="14">
      <c r="A152" s="22">
        <v>9</v>
      </c>
      <c r="B152" s="401" t="str">
        <f>IF(A152="","",IF(INDEX('１×Ｗ'!$B$2:$J$28,MATCH($A152,'１×Ｗ'!$B$3:$B$28,),MATCH($B$5,'１×Ｗ'!$B$2:$J$2,))&lt;&gt;"",INDEX('１×Ｗ'!$B$3:$J$28,MATCH($A152,'１×Ｗ'!$B$3:$B$28,),MATCH($B$5,'１×Ｗ'!$B$2:$J$2,)),""))</f>
        <v>沼津東高校B</v>
      </c>
      <c r="C152" s="399" t="str">
        <f>IF(A152="","",IF(INDEX('１×Ｗ'!$B$2:$J$28,MATCH($A152,'１×Ｗ'!$B$3:$B$28,),MATCH($C$5,'１×Ｗ'!$B$2:$J$2,))&lt;&gt;"",INDEX('１×Ｗ'!$B$3:$J$28,MATCH($A152,'１×Ｗ'!$B$3:$B$28,),MATCH($C$5,'１×Ｗ'!$B$2:$J$2,)),""))</f>
        <v>山本</v>
      </c>
      <c r="D152" s="399">
        <v>1</v>
      </c>
      <c r="F152" s="175"/>
      <c r="H152" s="399">
        <v>1</v>
      </c>
      <c r="J152" s="175"/>
      <c r="L152" s="400"/>
      <c r="M152" s="57"/>
      <c r="N152" s="58"/>
      <c r="O152" s="57"/>
      <c r="P152" s="329">
        <v>1</v>
      </c>
      <c r="R152" s="175"/>
      <c r="S152" s="55"/>
    </row>
    <row r="153" spans="1:19" s="22" customFormat="1" ht="14">
      <c r="B153" s="401" t="e">
        <f ca="1">IF(INDEX('１×Ｍ'!$B$50:$J$70,MATCH($A$149,'１×Ｍ'!$B$50:$B$70,),MATCH($B153,'１×Ｍ'!$B$50:$J$50,))&lt;&gt;"",INDEX('１×Ｍ'!$B$50:$J$70,MATCH($A$149,'１×Ｍ'!$B$50:$B$70,),MATCH($B153,'１×Ｍ'!$B$50:$J$50,)),"")</f>
        <v>#N/A</v>
      </c>
      <c r="C153" s="399"/>
      <c r="D153" s="399"/>
      <c r="E153" s="342"/>
      <c r="F153" s="58"/>
      <c r="H153" s="399"/>
      <c r="I153" s="342" t="s">
        <v>830</v>
      </c>
      <c r="J153" s="58"/>
      <c r="L153" s="400"/>
      <c r="M153" s="57"/>
      <c r="N153" s="58"/>
      <c r="O153" s="57"/>
      <c r="P153" s="329"/>
      <c r="Q153" s="61" t="s">
        <v>818</v>
      </c>
      <c r="R153" s="60"/>
      <c r="S153" s="55"/>
    </row>
    <row r="154" spans="1:19" s="22" customFormat="1" ht="14">
      <c r="A154" s="22">
        <v>5</v>
      </c>
      <c r="B154" s="401" t="str">
        <f>IF(A154="","",IF(INDEX('１×Ｗ'!$B$2:$J$28,MATCH($A154,'１×Ｗ'!$B$3:$B$28,),MATCH($B$5,'１×Ｗ'!$B$2:$J$2,))&lt;&gt;"",INDEX('１×Ｗ'!$B$3:$J$28,MATCH($A154,'１×Ｗ'!$B$3:$B$28,),MATCH($B$5,'１×Ｗ'!$B$2:$J$2,)),""))</f>
        <v>新居高校B</v>
      </c>
      <c r="C154" s="399" t="str">
        <f>IF(A154="","",IF(INDEX('１×Ｗ'!$B$2:$J$28,MATCH($A154,'１×Ｗ'!$B$3:$B$28,),MATCH($C$5,'１×Ｗ'!$B$2:$J$2,))&lt;&gt;"",INDEX('１×Ｗ'!$B$3:$J$28,MATCH($A154,'１×Ｗ'!$B$3:$B$28,),MATCH($C$5,'１×Ｗ'!$B$2:$J$2,)),""))</f>
        <v>鈴木</v>
      </c>
      <c r="D154" s="399">
        <v>2</v>
      </c>
      <c r="E154" s="358"/>
      <c r="F154" s="58"/>
      <c r="H154" s="399">
        <v>2</v>
      </c>
      <c r="I154" s="357"/>
      <c r="J154" s="60"/>
      <c r="L154" s="400"/>
      <c r="M154" s="57"/>
      <c r="N154" s="58"/>
      <c r="O154" s="57"/>
      <c r="P154" s="329">
        <v>2</v>
      </c>
      <c r="Q154" s="62"/>
      <c r="R154" s="60"/>
      <c r="S154" s="55"/>
    </row>
    <row r="155" spans="1:19" s="22" customFormat="1" ht="14">
      <c r="B155" s="401" t="e">
        <f ca="1">IF(INDEX('１×Ｍ'!$B$50:$J$70,MATCH($A$149,'１×Ｍ'!$B$50:$B$70,),MATCH($B155,'１×Ｍ'!$B$50:$J$50,))&lt;&gt;"",INDEX('１×Ｍ'!$B$50:$J$70,MATCH($A$149,'１×Ｍ'!$B$50:$B$70,),MATCH($B155,'１×Ｍ'!$B$50:$J$50,)),"")</f>
        <v>#N/A</v>
      </c>
      <c r="C155" s="399"/>
      <c r="D155" s="399"/>
      <c r="E155" s="61"/>
      <c r="F155" s="58"/>
      <c r="H155" s="399"/>
      <c r="I155" s="61" t="s">
        <v>826</v>
      </c>
      <c r="J155" s="58"/>
      <c r="L155" s="400"/>
      <c r="M155" s="57"/>
      <c r="N155" s="58"/>
      <c r="O155" s="57"/>
      <c r="P155" s="329"/>
      <c r="Q155" s="61" t="s">
        <v>813</v>
      </c>
      <c r="R155" s="60"/>
      <c r="S155" s="55"/>
    </row>
    <row r="156" spans="1:19" s="22" customFormat="1" ht="14">
      <c r="A156" s="22">
        <v>1</v>
      </c>
      <c r="B156" s="401" t="str">
        <f>IF(A156="","",IF(INDEX('１×Ｗ'!$B$2:$J$28,MATCH($A156,'１×Ｗ'!$B$3:$B$28,),MATCH($B$5,'１×Ｗ'!$B$2:$J$2,))&lt;&gt;"",INDEX('１×Ｗ'!$B$3:$J$28,MATCH($A156,'１×Ｗ'!$B$3:$B$28,),MATCH($B$5,'１×Ｗ'!$B$2:$J$2,)),""))</f>
        <v>浜松西高校A</v>
      </c>
      <c r="C156" s="399" t="str">
        <f>IF(A156="","",IF(INDEX('１×Ｗ'!$B$2:$J$28,MATCH($A156,'１×Ｗ'!$B$3:$B$28,),MATCH($C$5,'１×Ｗ'!$B$2:$J$2,))&lt;&gt;"",INDEX('１×Ｗ'!$B$3:$J$28,MATCH($A156,'１×Ｗ'!$B$3:$B$28,),MATCH($C$5,'１×Ｗ'!$B$2:$J$2,)),""))</f>
        <v>小笠原</v>
      </c>
      <c r="D156" s="399">
        <v>3</v>
      </c>
      <c r="E156" s="57"/>
      <c r="F156" s="349"/>
      <c r="H156" s="399">
        <v>3</v>
      </c>
      <c r="I156" s="57"/>
      <c r="J156" s="349"/>
      <c r="L156" s="400"/>
      <c r="M156" s="57"/>
      <c r="N156" s="58"/>
      <c r="O156" s="57"/>
      <c r="P156" s="329">
        <v>3</v>
      </c>
      <c r="Q156" s="62"/>
      <c r="R156" s="63"/>
      <c r="S156" s="55"/>
    </row>
    <row r="157" spans="1:19" s="22" customFormat="1" ht="14">
      <c r="B157" s="401" t="e">
        <f ca="1">IF(INDEX('１×Ｍ'!$B$50:$J$70,MATCH($A$149,'１×Ｍ'!$B$50:$B$70,),MATCH($B157,'１×Ｍ'!$B$50:$J$50,))&lt;&gt;"",INDEX('１×Ｍ'!$B$50:$J$70,MATCH($A$149,'１×Ｍ'!$B$50:$B$70,),MATCH($B157,'１×Ｍ'!$B$50:$J$50,)),"")</f>
        <v>#N/A</v>
      </c>
      <c r="C157" s="399"/>
      <c r="D157" s="399"/>
      <c r="E157" s="343"/>
      <c r="F157" s="60"/>
      <c r="H157" s="399"/>
      <c r="I157" s="343" t="s">
        <v>814</v>
      </c>
      <c r="J157" s="60"/>
      <c r="L157" s="400"/>
      <c r="M157" s="57"/>
      <c r="N157" s="58"/>
      <c r="O157" s="57"/>
      <c r="P157" s="329"/>
      <c r="Q157" s="343" t="s">
        <v>811</v>
      </c>
      <c r="R157" s="344"/>
      <c r="S157" s="55"/>
    </row>
    <row r="158" spans="1:19" s="22" customFormat="1" ht="14">
      <c r="A158" s="22">
        <v>11</v>
      </c>
      <c r="B158" s="401" t="str">
        <f>IF(A158="","",IF(INDEX('１×Ｗ'!$B$2:$J$28,MATCH($A158,'１×Ｗ'!$B$3:$B$28,),MATCH($B$5,'１×Ｗ'!$B$2:$J$2,))&lt;&gt;"",INDEX('１×Ｗ'!$B$3:$J$28,MATCH($A158,'１×Ｗ'!$B$3:$B$28,),MATCH($B$5,'１×Ｗ'!$B$2:$J$2,)),""))</f>
        <v>浜松湖南高校A</v>
      </c>
      <c r="C158" s="399" t="str">
        <f>IF(A158="","",IF(INDEX('１×Ｗ'!$B$2:$J$28,MATCH($A158,'１×Ｗ'!$B$3:$B$28,),MATCH($C$5,'１×Ｗ'!$B$2:$J$2,))&lt;&gt;"",INDEX('１×Ｗ'!$B$3:$J$28,MATCH($A158,'１×Ｗ'!$B$3:$B$28,),MATCH($C$5,'１×Ｗ'!$B$2:$J$2,)),""))</f>
        <v>加藤</v>
      </c>
      <c r="D158" s="399">
        <v>4</v>
      </c>
      <c r="E158" s="62"/>
      <c r="F158" s="60"/>
      <c r="H158" s="399">
        <v>4</v>
      </c>
      <c r="I158" s="57"/>
      <c r="J158" s="60"/>
      <c r="L158" s="400"/>
      <c r="M158" s="57"/>
      <c r="N158" s="58"/>
      <c r="O158" s="57"/>
      <c r="P158" s="329">
        <v>4</v>
      </c>
      <c r="Q158" s="62"/>
      <c r="R158" s="63"/>
      <c r="S158" s="55"/>
    </row>
    <row r="159" spans="1:19" s="22" customFormat="1" ht="14">
      <c r="B159" s="401" t="e">
        <f ca="1">IF(INDEX('１×Ｍ'!$B$50:$J$70,MATCH($A$149,'１×Ｍ'!$B$50:$B$70,),MATCH($B159,'１×Ｍ'!$B$50:$J$50,))&lt;&gt;"",INDEX('１×Ｍ'!$B$50:$J$70,MATCH($A$149,'１×Ｍ'!$B$50:$B$70,),MATCH($B159,'１×Ｍ'!$B$50:$J$50,)),"")</f>
        <v>#N/A</v>
      </c>
      <c r="C159" s="399"/>
      <c r="D159" s="399"/>
      <c r="E159" s="61"/>
      <c r="F159" s="58"/>
      <c r="H159" s="399"/>
      <c r="I159" s="61" t="s">
        <v>825</v>
      </c>
      <c r="J159" s="58"/>
      <c r="L159" s="400"/>
      <c r="M159" s="57"/>
      <c r="N159" s="58"/>
      <c r="O159" s="57"/>
      <c r="P159" s="329"/>
      <c r="Q159" s="61" t="s">
        <v>812</v>
      </c>
      <c r="S159" s="55"/>
    </row>
    <row r="160" spans="1:19" s="22" customFormat="1" ht="14">
      <c r="A160" s="22">
        <v>7</v>
      </c>
      <c r="B160" s="401" t="str">
        <f>IF(A160="","",IF(INDEX('１×Ｗ'!$B$2:$J$28,MATCH($A160,'１×Ｗ'!$B$3:$B$28,),MATCH($B$5,'１×Ｗ'!$B$2:$J$2,))&lt;&gt;"",INDEX('１×Ｗ'!$B$3:$J$28,MATCH($A160,'１×Ｗ'!$B$3:$B$28,),MATCH($B$5,'１×Ｗ'!$B$2:$J$2,)),""))</f>
        <v>天竜高校B</v>
      </c>
      <c r="C160" s="399" t="str">
        <f>IF(A160="","",IF(INDEX('１×Ｗ'!$B$2:$J$28,MATCH($A160,'１×Ｗ'!$B$3:$B$28,),MATCH($C$5,'１×Ｗ'!$B$2:$J$2,))&lt;&gt;"",INDEX('１×Ｗ'!$B$3:$J$28,MATCH($A160,'１×Ｗ'!$B$3:$B$28,),MATCH($C$5,'１×Ｗ'!$B$2:$J$2,)),""))</f>
        <v>乗松</v>
      </c>
      <c r="D160" s="399">
        <v>5</v>
      </c>
      <c r="E160" s="65"/>
      <c r="F160" s="58"/>
      <c r="H160" s="399">
        <v>5</v>
      </c>
      <c r="I160" s="65"/>
      <c r="J160" s="58"/>
      <c r="L160" s="400"/>
      <c r="M160" s="57"/>
      <c r="N160" s="58"/>
      <c r="O160" s="57"/>
      <c r="P160" s="329">
        <v>5</v>
      </c>
      <c r="Q160" s="62"/>
      <c r="S160" s="55"/>
    </row>
    <row r="161" spans="1:19" s="22" customFormat="1" ht="14">
      <c r="B161" s="401" t="e">
        <f ca="1">IF(INDEX('１×Ｍ'!$B$50:$J$70,MATCH($A$149,'１×Ｍ'!$B$50:$B$70,),MATCH($B161,'１×Ｍ'!$B$50:$J$50,))&lt;&gt;"",INDEX('１×Ｍ'!$B$50:$J$70,MATCH($A$149,'１×Ｍ'!$B$50:$B$70,),MATCH($B161,'１×Ｍ'!$B$50:$J$50,)),"")</f>
        <v>#N/A</v>
      </c>
      <c r="C161" s="399"/>
      <c r="D161" s="399"/>
      <c r="E161" s="343"/>
      <c r="F161" s="58"/>
      <c r="H161" s="399"/>
      <c r="I161" s="343" t="s">
        <v>829</v>
      </c>
      <c r="J161" s="58"/>
      <c r="L161" s="400"/>
      <c r="M161" s="57"/>
      <c r="N161" s="58"/>
      <c r="O161" s="57"/>
      <c r="P161" s="329"/>
      <c r="Q161" s="343" t="s">
        <v>817</v>
      </c>
      <c r="R161" s="57"/>
      <c r="S161" s="55"/>
    </row>
    <row r="162" spans="1:19" s="22" customFormat="1" ht="14">
      <c r="B162" s="401" t="str">
        <f>IF(A162="","",IF(INDEX('１×Ｗ'!$B$2:$J$28,MATCH($A162,'１×Ｗ'!$B$3:$B$28,),MATCH($B$5,'１×Ｗ'!$B$2:$J$2,))&lt;&gt;"",INDEX('１×Ｗ'!$B$3:$J$28,MATCH($A162,'１×Ｗ'!$B$3:$B$28,),MATCH($B$5,'１×Ｗ'!$B$2:$J$2,)),""))</f>
        <v/>
      </c>
      <c r="C162" s="399" t="str">
        <f>IF(A162="","",IF(INDEX('１×Ｗ'!$B$2:$J$28,MATCH($A162,'１×Ｗ'!$B$3:$B$28,),MATCH($C$5,'１×Ｗ'!$B$2:$J$2,))&lt;&gt;"",INDEX('１×Ｗ'!$B$3:$J$28,MATCH($A162,'１×Ｗ'!$B$3:$B$28,),MATCH($C$5,'１×Ｗ'!$B$2:$J$2,)),""))</f>
        <v/>
      </c>
      <c r="D162" s="399"/>
      <c r="E162" s="57"/>
      <c r="F162" s="175"/>
      <c r="H162" s="400"/>
      <c r="I162" s="57"/>
      <c r="J162" s="58"/>
      <c r="L162" s="400"/>
      <c r="M162" s="57"/>
      <c r="N162" s="57"/>
      <c r="O162" s="57"/>
      <c r="P162" s="329"/>
      <c r="Q162" s="57"/>
      <c r="R162" s="57"/>
      <c r="S162" s="55"/>
    </row>
    <row r="163" spans="1:19" s="22" customFormat="1" ht="14">
      <c r="B163" s="401" t="e">
        <f ca="1">IF(INDEX('１×Ｍ'!$B$50:$J$70,MATCH($A$149,'１×Ｍ'!$B$50:$B$70,),MATCH($B163,'１×Ｍ'!$B$50:$J$50,))&lt;&gt;"",INDEX('１×Ｍ'!$B$50:$J$70,MATCH($A$149,'１×Ｍ'!$B$50:$B$70,),MATCH($B163,'１×Ｍ'!$B$50:$J$50,)),"")</f>
        <v>#N/A</v>
      </c>
      <c r="C163" s="399"/>
      <c r="D163" s="399"/>
      <c r="E163" s="57"/>
      <c r="F163" s="175"/>
      <c r="H163" s="400"/>
      <c r="I163" s="57"/>
      <c r="J163" s="58"/>
      <c r="L163" s="400"/>
      <c r="M163" s="57"/>
      <c r="N163" s="57"/>
      <c r="O163" s="57"/>
      <c r="P163" s="329"/>
      <c r="Q163" s="57"/>
      <c r="R163" s="57"/>
      <c r="S163" s="55"/>
    </row>
    <row r="164" spans="1:19" s="22" customFormat="1" ht="14.25" customHeight="1">
      <c r="C164" s="52"/>
      <c r="D164" s="17"/>
      <c r="F164" s="53"/>
      <c r="H164" s="337"/>
      <c r="I164" s="57"/>
      <c r="J164" s="57"/>
      <c r="K164" s="170"/>
      <c r="L164" s="57"/>
      <c r="M164" s="57"/>
      <c r="N164" s="105"/>
      <c r="O164" s="57"/>
      <c r="P164" s="55"/>
      <c r="Q164" s="55"/>
      <c r="R164" s="55"/>
      <c r="S164" s="55"/>
    </row>
    <row r="165" spans="1:19" s="22" customFormat="1" ht="14">
      <c r="C165" s="52"/>
      <c r="D165" s="52"/>
      <c r="F165" s="52">
        <f>F150+1</f>
        <v>16</v>
      </c>
      <c r="H165" s="52"/>
      <c r="J165" s="52">
        <f>J150+1</f>
        <v>29</v>
      </c>
      <c r="K165" s="166"/>
      <c r="L165" s="57"/>
      <c r="M165" s="57"/>
      <c r="N165" s="105"/>
      <c r="O165" s="57"/>
      <c r="P165" s="57"/>
      <c r="Q165" s="172"/>
      <c r="R165" s="105"/>
      <c r="S165" s="55"/>
    </row>
    <row r="166" spans="1:19" s="22" customFormat="1" ht="14">
      <c r="C166" s="52"/>
      <c r="D166" s="52"/>
      <c r="E166" s="22" t="s">
        <v>85</v>
      </c>
      <c r="F166" s="174">
        <f>VLOOKUP(F165,競漕日程!$A$4:$D$41,2)</f>
        <v>0.60277777777777775</v>
      </c>
      <c r="H166" s="52"/>
      <c r="I166" s="22" t="s">
        <v>85</v>
      </c>
      <c r="J166" s="174">
        <f>VLOOKUP(J165,競漕日程!$A$4:$D$41,2)</f>
        <v>0.38055555555555554</v>
      </c>
      <c r="L166" s="57"/>
      <c r="M166" s="57"/>
      <c r="N166" s="69"/>
      <c r="O166" s="55"/>
      <c r="P166" s="57"/>
      <c r="Q166" s="57"/>
      <c r="R166" s="69"/>
      <c r="S166" s="55"/>
    </row>
    <row r="167" spans="1:19" s="22" customFormat="1" ht="14">
      <c r="B167" s="401" t="str">
        <f>IF(A167="","",IF(INDEX('１×Ｗ'!$B$2:$J$28,MATCH($A167,'１×Ｗ'!$B$3:$B$28,),MATCH($B$5,'１×Ｗ'!$B$2:$J$2,))&lt;&gt;"",INDEX('１×Ｗ'!$B$3:$J$28,MATCH($A167,'１×Ｗ'!$B$3:$B$28,),MATCH($B$5,'１×Ｗ'!$B$2:$J$2,)),""))</f>
        <v/>
      </c>
      <c r="C167" s="399" t="str">
        <f>IF(A167="","",IF(INDEX('１×Ｗ'!$B$2:$J$28,MATCH($A167,'１×Ｗ'!$B$3:$B$28,),MATCH($C$5,'１×Ｗ'!$B$2:$J$2,))&lt;&gt;"",INDEX('１×Ｗ'!$B$3:$J$28,MATCH($A167,'１×Ｗ'!$B$3:$B$28,),MATCH($C$5,'１×Ｗ'!$B$2:$J$2,)),""))</f>
        <v/>
      </c>
      <c r="D167" s="399"/>
      <c r="F167" s="175"/>
      <c r="H167" s="399">
        <v>1</v>
      </c>
      <c r="J167" s="175"/>
      <c r="L167" s="400"/>
      <c r="M167" s="57"/>
      <c r="N167" s="58"/>
      <c r="O167" s="55"/>
      <c r="P167" s="400"/>
      <c r="Q167" s="57"/>
      <c r="R167" s="58"/>
      <c r="S167" s="55"/>
    </row>
    <row r="168" spans="1:19" s="22" customFormat="1" ht="14">
      <c r="B168" s="401" t="e">
        <f ca="1">IF(INDEX('１×Ｍ'!$B$50:$J$70,MATCH($A$149,'１×Ｍ'!$B$50:$B$70,),MATCH($B168,'１×Ｍ'!$B$50:$J$50,))&lt;&gt;"",INDEX('１×Ｍ'!$B$50:$J$70,MATCH($A$149,'１×Ｍ'!$B$50:$B$70,),MATCH($B168,'１×Ｍ'!$B$50:$J$50,)),"")</f>
        <v>#N/A</v>
      </c>
      <c r="C168" s="399"/>
      <c r="D168" s="399"/>
      <c r="E168" s="57"/>
      <c r="F168" s="58"/>
      <c r="H168" s="399"/>
      <c r="I168" s="342" t="s">
        <v>845</v>
      </c>
      <c r="J168" s="58"/>
      <c r="L168" s="400"/>
      <c r="M168" s="57"/>
      <c r="N168" s="58"/>
      <c r="O168" s="55"/>
      <c r="P168" s="400"/>
      <c r="Q168" s="57"/>
      <c r="R168" s="58"/>
      <c r="S168" s="58"/>
    </row>
    <row r="169" spans="1:19" s="22" customFormat="1" ht="14">
      <c r="A169" s="22">
        <v>13</v>
      </c>
      <c r="B169" s="401" t="str">
        <f>IF(A169="","",IF(INDEX('１×Ｗ'!$B$2:$J$28,MATCH($A169,'１×Ｗ'!$B$3:$B$28,),MATCH($B$5,'１×Ｗ'!$B$2:$J$2,))&lt;&gt;"",INDEX('１×Ｗ'!$B$3:$J$28,MATCH($A169,'１×Ｗ'!$B$3:$B$28,),MATCH($B$5,'１×Ｗ'!$B$2:$J$2,)),""))</f>
        <v>浜松湖南高校C</v>
      </c>
      <c r="C169" s="399" t="str">
        <f>IF(A169="","",IF(INDEX('１×Ｗ'!$B$2:$J$28,MATCH($A169,'１×Ｗ'!$B$3:$B$28,),MATCH($C$5,'１×Ｗ'!$B$2:$J$2,))&lt;&gt;"",INDEX('１×Ｗ'!$B$3:$J$28,MATCH($A169,'１×Ｗ'!$B$3:$B$28,),MATCH($C$5,'１×Ｗ'!$B$2:$J$2,)),""))</f>
        <v>市川</v>
      </c>
      <c r="D169" s="399">
        <v>2</v>
      </c>
      <c r="E169" s="72"/>
      <c r="F169" s="58"/>
      <c r="H169" s="399">
        <v>2</v>
      </c>
      <c r="I169" s="357"/>
      <c r="J169" s="60"/>
      <c r="L169" s="400"/>
      <c r="M169" s="57"/>
      <c r="N169" s="58"/>
      <c r="O169" s="55"/>
      <c r="P169" s="400"/>
      <c r="Q169" s="57"/>
      <c r="R169" s="58"/>
      <c r="S169" s="55"/>
    </row>
    <row r="170" spans="1:19" s="22" customFormat="1" ht="14">
      <c r="B170" s="401" t="e">
        <f ca="1">IF(INDEX('１×Ｍ'!$B$50:$J$70,MATCH($A$149,'１×Ｍ'!$B$50:$B$70,),MATCH($B170,'１×Ｍ'!$B$50:$J$50,))&lt;&gt;"",INDEX('１×Ｍ'!$B$50:$J$70,MATCH($A$149,'１×Ｍ'!$B$50:$B$70,),MATCH($B170,'１×Ｍ'!$B$50:$J$50,)),"")</f>
        <v>#N/A</v>
      </c>
      <c r="C170" s="399"/>
      <c r="D170" s="399"/>
      <c r="E170" s="61"/>
      <c r="F170" s="58"/>
      <c r="H170" s="399"/>
      <c r="I170" s="61" t="s">
        <v>827</v>
      </c>
      <c r="J170" s="58"/>
      <c r="L170" s="400"/>
      <c r="M170" s="57"/>
      <c r="N170" s="58"/>
      <c r="O170" s="55"/>
      <c r="P170" s="400"/>
      <c r="Q170" s="57"/>
      <c r="R170" s="58"/>
      <c r="S170" s="55"/>
    </row>
    <row r="171" spans="1:19" s="22" customFormat="1" ht="14">
      <c r="A171" s="22">
        <v>4</v>
      </c>
      <c r="B171" s="401" t="str">
        <f>IF(A171="","",IF(INDEX('１×Ｗ'!$B$2:$J$28,MATCH($A171,'１×Ｗ'!$B$3:$B$28,),MATCH($B$5,'１×Ｗ'!$B$2:$J$2,))&lt;&gt;"",INDEX('１×Ｗ'!$B$3:$J$28,MATCH($A171,'１×Ｗ'!$B$3:$B$28,),MATCH($B$5,'１×Ｗ'!$B$2:$J$2,)),""))</f>
        <v>新居高校A</v>
      </c>
      <c r="C171" s="399" t="str">
        <f>IF(A171="","",IF(INDEX('１×Ｗ'!$B$2:$J$28,MATCH($A171,'１×Ｗ'!$B$3:$B$28,),MATCH($C$5,'１×Ｗ'!$B$2:$J$2,))&lt;&gt;"",INDEX('１×Ｗ'!$B$3:$J$28,MATCH($A171,'１×Ｗ'!$B$3:$B$28,),MATCH($C$5,'１×Ｗ'!$B$2:$J$2,)),""))</f>
        <v>後藤</v>
      </c>
      <c r="D171" s="399">
        <v>3</v>
      </c>
      <c r="E171" s="62"/>
      <c r="F171" s="58"/>
      <c r="H171" s="399">
        <v>3</v>
      </c>
      <c r="I171" s="57"/>
      <c r="J171" s="349"/>
      <c r="L171" s="400"/>
      <c r="M171" s="57"/>
      <c r="N171" s="58"/>
      <c r="O171" s="55"/>
      <c r="P171" s="400"/>
      <c r="Q171" s="57"/>
      <c r="R171" s="57"/>
      <c r="S171" s="55"/>
    </row>
    <row r="172" spans="1:19" s="22" customFormat="1" ht="14">
      <c r="B172" s="401" t="e">
        <f ca="1">IF(INDEX('１×Ｍ'!$B$50:$J$70,MATCH($A$149,'１×Ｍ'!$B$50:$B$70,),MATCH($B172,'１×Ｍ'!$B$50:$J$50,))&lt;&gt;"",INDEX('１×Ｍ'!$B$50:$J$70,MATCH($A$149,'１×Ｍ'!$B$50:$B$70,),MATCH($B172,'１×Ｍ'!$B$50:$J$50,)),"")</f>
        <v>#N/A</v>
      </c>
      <c r="C172" s="399"/>
      <c r="D172" s="399"/>
      <c r="E172" s="61"/>
      <c r="F172" s="349"/>
      <c r="H172" s="399"/>
      <c r="I172" s="343" t="s">
        <v>815</v>
      </c>
      <c r="J172" s="60"/>
      <c r="L172" s="400"/>
      <c r="M172" s="57"/>
      <c r="N172" s="58"/>
      <c r="O172" s="55"/>
      <c r="P172" s="400"/>
      <c r="Q172" s="57"/>
      <c r="R172" s="57"/>
      <c r="S172" s="55"/>
    </row>
    <row r="173" spans="1:19" s="22" customFormat="1" ht="14">
      <c r="A173" s="22">
        <v>10</v>
      </c>
      <c r="B173" s="401" t="str">
        <f>IF(A173="","",IF(INDEX('１×Ｗ'!$B$2:$J$28,MATCH($A173,'１×Ｗ'!$B$3:$B$28,),MATCH($B$5,'１×Ｗ'!$B$2:$J$2,))&lt;&gt;"",INDEX('１×Ｗ'!$B$3:$J$28,MATCH($A173,'１×Ｗ'!$B$3:$B$28,),MATCH($B$5,'１×Ｗ'!$B$2:$J$2,)),""))</f>
        <v>浜松大平台高校</v>
      </c>
      <c r="C173" s="399" t="str">
        <f>IF(A173="","",IF(INDEX('１×Ｗ'!$B$2:$J$28,MATCH($A173,'１×Ｗ'!$B$3:$B$28,),MATCH($C$5,'１×Ｗ'!$B$2:$J$2,))&lt;&gt;"",INDEX('１×Ｗ'!$B$3:$J$28,MATCH($A173,'１×Ｗ'!$B$3:$B$28,),MATCH($C$5,'１×Ｗ'!$B$2:$J$2,)),""))</f>
        <v>大井</v>
      </c>
      <c r="D173" s="399">
        <v>4</v>
      </c>
      <c r="E173" s="62"/>
      <c r="F173" s="60"/>
      <c r="H173" s="399">
        <v>4</v>
      </c>
      <c r="I173" s="57"/>
      <c r="J173" s="60"/>
      <c r="L173" s="400"/>
      <c r="M173" s="57"/>
      <c r="N173" s="58"/>
      <c r="O173" s="55"/>
      <c r="P173" s="400"/>
      <c r="Q173" s="57"/>
      <c r="R173" s="57"/>
      <c r="S173" s="55"/>
    </row>
    <row r="174" spans="1:19" s="22" customFormat="1" ht="14">
      <c r="B174" s="401" t="e">
        <f ca="1">IF(INDEX('１×Ｍ'!$B$50:$J$70,MATCH($A$149,'１×Ｍ'!$B$50:$B$70,),MATCH($B174,'１×Ｍ'!$B$50:$J$50,))&lt;&gt;"",INDEX('１×Ｍ'!$B$50:$J$70,MATCH($A$149,'１×Ｍ'!$B$50:$B$70,),MATCH($B174,'１×Ｍ'!$B$50:$J$50,)),"")</f>
        <v>#N/A</v>
      </c>
      <c r="C174" s="399"/>
      <c r="D174" s="399"/>
      <c r="E174" s="61"/>
      <c r="F174" s="60"/>
      <c r="H174" s="399"/>
      <c r="I174" s="61" t="s">
        <v>816</v>
      </c>
      <c r="J174" s="58"/>
      <c r="L174" s="400"/>
      <c r="M174" s="57"/>
      <c r="N174" s="58"/>
      <c r="O174" s="55"/>
      <c r="P174" s="400"/>
      <c r="Q174" s="57"/>
      <c r="R174" s="57"/>
      <c r="S174" s="55"/>
    </row>
    <row r="175" spans="1:19" s="22" customFormat="1" ht="14">
      <c r="A175" s="22">
        <v>2</v>
      </c>
      <c r="B175" s="401" t="str">
        <f>IF(A175="","",IF(INDEX('１×Ｗ'!$B$2:$J$28,MATCH($A175,'１×Ｗ'!$B$3:$B$28,),MATCH($B$5,'１×Ｗ'!$B$2:$J$2,))&lt;&gt;"",INDEX('１×Ｗ'!$B$3:$J$28,MATCH($A175,'１×Ｗ'!$B$3:$B$28,),MATCH($B$5,'１×Ｗ'!$B$2:$J$2,)),""))</f>
        <v>浜松西高校B</v>
      </c>
      <c r="C175" s="399" t="str">
        <f>IF(A175="","",IF(INDEX('１×Ｗ'!$B$2:$J$28,MATCH($A175,'１×Ｗ'!$B$3:$B$28,),MATCH($C$5,'１×Ｗ'!$B$2:$J$2,))&lt;&gt;"",INDEX('１×Ｗ'!$B$3:$J$28,MATCH($A175,'１×Ｗ'!$B$3:$B$28,),MATCH($C$5,'１×Ｗ'!$B$2:$J$2,)),""))</f>
        <v>袴田</v>
      </c>
      <c r="D175" s="399">
        <v>5</v>
      </c>
      <c r="E175" s="65"/>
      <c r="F175" s="58"/>
      <c r="H175" s="399">
        <v>5</v>
      </c>
      <c r="I175" s="65"/>
      <c r="J175" s="58"/>
      <c r="L175" s="400"/>
      <c r="M175" s="57"/>
      <c r="N175" s="58"/>
      <c r="O175" s="57"/>
      <c r="P175" s="400"/>
      <c r="Q175" s="57"/>
      <c r="R175" s="57"/>
      <c r="S175" s="55"/>
    </row>
    <row r="176" spans="1:19" s="22" customFormat="1" ht="14">
      <c r="B176" s="401" t="e">
        <f ca="1">IF(INDEX('１×Ｍ'!$B$50:$J$70,MATCH($A$149,'１×Ｍ'!$B$50:$B$70,),MATCH($B176,'１×Ｍ'!$B$50:$J$50,))&lt;&gt;"",INDEX('１×Ｍ'!$B$50:$J$70,MATCH($A$149,'１×Ｍ'!$B$50:$B$70,),MATCH($B176,'１×Ｍ'!$B$50:$J$50,)),"")</f>
        <v>#N/A</v>
      </c>
      <c r="C176" s="399"/>
      <c r="D176" s="399"/>
      <c r="E176" s="343"/>
      <c r="F176" s="58"/>
      <c r="H176" s="399"/>
      <c r="I176" s="343" t="s">
        <v>828</v>
      </c>
      <c r="J176" s="58"/>
      <c r="L176" s="400"/>
      <c r="M176" s="57"/>
      <c r="N176" s="58"/>
      <c r="O176" s="57"/>
      <c r="P176" s="400"/>
      <c r="Q176" s="57"/>
      <c r="R176" s="57"/>
      <c r="S176" s="55"/>
    </row>
    <row r="177" spans="1:19" s="22" customFormat="1" ht="14">
      <c r="B177" s="401" t="str">
        <f>IF(A177="","",IF(INDEX('１×Ｗ'!$B$2:$J$28,MATCH($A177,'１×Ｗ'!$B$3:$B$28,),MATCH($B$5,'１×Ｗ'!$B$2:$J$2,))&lt;&gt;"",INDEX('１×Ｗ'!$B$3:$J$28,MATCH($A177,'１×Ｗ'!$B$3:$B$28,),MATCH($B$5,'１×Ｗ'!$B$2:$J$2,)),""))</f>
        <v/>
      </c>
      <c r="C177" s="399" t="str">
        <f>IF(A177="","",IF(INDEX('１×Ｗ'!$B$2:$J$28,MATCH($A177,'１×Ｗ'!$B$3:$B$28,),MATCH($C$5,'１×Ｗ'!$B$2:$J$2,))&lt;&gt;"",INDEX('１×Ｗ'!$B$3:$J$28,MATCH($A177,'１×Ｗ'!$B$3:$B$28,),MATCH($C$5,'１×Ｗ'!$B$2:$J$2,)),""))</f>
        <v/>
      </c>
      <c r="D177" s="399"/>
      <c r="E177" s="57"/>
      <c r="F177" s="175"/>
      <c r="H177" s="400"/>
      <c r="I177" s="57"/>
      <c r="J177" s="58"/>
      <c r="L177" s="400"/>
      <c r="M177" s="57"/>
      <c r="N177" s="57"/>
      <c r="O177" s="57"/>
      <c r="P177" s="400"/>
      <c r="Q177" s="57"/>
      <c r="R177" s="57"/>
      <c r="S177" s="55"/>
    </row>
    <row r="178" spans="1:19" s="22" customFormat="1" ht="14">
      <c r="B178" s="401" t="e">
        <f ca="1">IF(INDEX('１×Ｍ'!$B$50:$J$70,MATCH($A$149,'１×Ｍ'!$B$50:$B$70,),MATCH($B178,'１×Ｍ'!$B$50:$J$50,))&lt;&gt;"",INDEX('１×Ｍ'!$B$50:$J$70,MATCH($A$149,'１×Ｍ'!$B$50:$B$70,),MATCH($B178,'１×Ｍ'!$B$50:$J$50,)),"")</f>
        <v>#N/A</v>
      </c>
      <c r="C178" s="399"/>
      <c r="D178" s="399"/>
      <c r="E178" s="57"/>
      <c r="F178" s="175"/>
      <c r="H178" s="400"/>
      <c r="I178" s="57"/>
      <c r="J178" s="58"/>
      <c r="L178" s="400"/>
      <c r="M178" s="57"/>
      <c r="N178" s="57"/>
      <c r="O178" s="57"/>
      <c r="P178" s="400"/>
      <c r="Q178" s="57"/>
      <c r="R178" s="57"/>
      <c r="S178" s="55"/>
    </row>
    <row r="179" spans="1:19" s="22" customFormat="1" ht="14.25" customHeight="1">
      <c r="C179" s="52"/>
      <c r="D179" s="329"/>
      <c r="F179" s="175"/>
      <c r="H179" s="329"/>
      <c r="K179" s="331"/>
      <c r="L179" s="57"/>
      <c r="M179" s="57"/>
      <c r="N179" s="105"/>
      <c r="O179" s="57"/>
      <c r="P179" s="55"/>
      <c r="Q179" s="55"/>
      <c r="R179" s="55"/>
      <c r="S179" s="55"/>
    </row>
    <row r="180" spans="1:19" s="22" customFormat="1" ht="14">
      <c r="C180" s="52"/>
      <c r="D180" s="52"/>
      <c r="F180" s="52">
        <f>F165+1</f>
        <v>17</v>
      </c>
      <c r="H180" s="172"/>
      <c r="I180" s="57"/>
      <c r="J180" s="105"/>
      <c r="K180" s="175"/>
      <c r="L180" s="57"/>
      <c r="M180" s="57"/>
      <c r="N180" s="105"/>
      <c r="O180" s="57"/>
      <c r="P180" s="57"/>
      <c r="Q180" s="172"/>
      <c r="R180" s="105"/>
      <c r="S180" s="55"/>
    </row>
    <row r="181" spans="1:19" s="22" customFormat="1" ht="14">
      <c r="C181" s="52"/>
      <c r="D181" s="52"/>
      <c r="E181" s="22" t="s">
        <v>86</v>
      </c>
      <c r="F181" s="174">
        <f>VLOOKUP(F180,競漕日程!$A$4:$D$41,2)</f>
        <v>0.60833333333333295</v>
      </c>
      <c r="H181" s="55"/>
      <c r="I181" s="57"/>
      <c r="J181" s="69"/>
      <c r="L181" s="57"/>
      <c r="M181" s="57"/>
      <c r="N181" s="69"/>
      <c r="O181" s="55"/>
      <c r="P181" s="57"/>
      <c r="Q181" s="57"/>
      <c r="R181" s="69"/>
      <c r="S181" s="55"/>
    </row>
    <row r="182" spans="1:19" s="22" customFormat="1" ht="14">
      <c r="B182" s="401" t="str">
        <f>IF(A182="","",IF(INDEX('１×Ｗ'!$B$2:$J$28,MATCH($A182,'１×Ｗ'!$B$3:$B$28,),MATCH($B$5,'１×Ｗ'!$B$2:$J$2,))&lt;&gt;"",INDEX('１×Ｗ'!$B$3:$J$28,MATCH($A182,'１×Ｗ'!$B$3:$B$28,),MATCH($B$5,'１×Ｗ'!$B$2:$J$2,)),""))</f>
        <v/>
      </c>
      <c r="C182" s="399" t="str">
        <f>IF(A182="","",IF(INDEX('１×Ｗ'!$B$2:$J$28,MATCH($A182,'１×Ｗ'!$B$3:$B$28,),MATCH($C$5,'１×Ｗ'!$B$2:$J$2,))&lt;&gt;"",INDEX('１×Ｗ'!$B$3:$J$28,MATCH($A182,'１×Ｗ'!$B$3:$B$28,),MATCH($C$5,'１×Ｗ'!$B$2:$J$2,)),""))</f>
        <v/>
      </c>
      <c r="D182" s="399"/>
      <c r="F182" s="175"/>
      <c r="H182" s="400"/>
      <c r="I182" s="57"/>
      <c r="J182" s="58"/>
      <c r="L182" s="400"/>
      <c r="M182" s="57"/>
      <c r="N182" s="58"/>
      <c r="O182" s="55"/>
      <c r="P182" s="400"/>
      <c r="Q182" s="57"/>
      <c r="R182" s="58"/>
      <c r="S182" s="55"/>
    </row>
    <row r="183" spans="1:19" s="22" customFormat="1" ht="14">
      <c r="B183" s="401" t="e">
        <f ca="1">IF(INDEX('１×Ｍ'!$B$50:$J$70,MATCH($A$149,'１×Ｍ'!$B$50:$B$70,),MATCH($B183,'１×Ｍ'!$B$50:$J$50,))&lt;&gt;"",INDEX('１×Ｍ'!$B$50:$J$70,MATCH($A$149,'１×Ｍ'!$B$50:$B$70,),MATCH($B183,'１×Ｍ'!$B$50:$J$50,)),"")</f>
        <v>#N/A</v>
      </c>
      <c r="C183" s="399"/>
      <c r="D183" s="399"/>
      <c r="E183" s="57"/>
      <c r="F183" s="58"/>
      <c r="H183" s="400"/>
      <c r="I183" s="57"/>
      <c r="J183" s="58"/>
      <c r="L183" s="400"/>
      <c r="M183" s="57"/>
      <c r="N183" s="58"/>
      <c r="O183" s="55"/>
      <c r="P183" s="400"/>
      <c r="Q183" s="57"/>
      <c r="R183" s="58"/>
      <c r="S183" s="58"/>
    </row>
    <row r="184" spans="1:19" s="22" customFormat="1" ht="14">
      <c r="A184" s="22">
        <v>3</v>
      </c>
      <c r="B184" s="401" t="str">
        <f>IF(A184="","",IF(INDEX('１×Ｗ'!$B$2:$J$28,MATCH($A184,'１×Ｗ'!$B$3:$B$28,),MATCH($B$5,'１×Ｗ'!$B$2:$J$2,))&lt;&gt;"",INDEX('１×Ｗ'!$B$3:$J$28,MATCH($A184,'１×Ｗ'!$B$3:$B$28,),MATCH($B$5,'１×Ｗ'!$B$2:$J$2,)),""))</f>
        <v>浜松西高校C</v>
      </c>
      <c r="C184" s="399" t="str">
        <f>IF(A184="","",IF(INDEX('１×Ｗ'!$B$2:$J$28,MATCH($A184,'１×Ｗ'!$B$3:$B$28,),MATCH($C$5,'１×Ｗ'!$B$2:$J$2,))&lt;&gt;"",INDEX('１×Ｗ'!$B$3:$J$28,MATCH($A184,'１×Ｗ'!$B$3:$B$28,),MATCH($C$5,'１×Ｗ'!$B$2:$J$2,)),""))</f>
        <v>佐藤</v>
      </c>
      <c r="D184" s="399">
        <v>2</v>
      </c>
      <c r="E184" s="72"/>
      <c r="F184" s="58"/>
      <c r="H184" s="400"/>
      <c r="I184" s="57"/>
      <c r="J184" s="58"/>
      <c r="L184" s="400"/>
      <c r="M184" s="57"/>
      <c r="N184" s="58"/>
      <c r="O184" s="55"/>
      <c r="P184" s="400"/>
      <c r="Q184" s="57"/>
      <c r="R184" s="58"/>
      <c r="S184" s="55"/>
    </row>
    <row r="185" spans="1:19" s="22" customFormat="1" ht="14">
      <c r="B185" s="401" t="e">
        <f ca="1">IF(INDEX('１×Ｍ'!$B$50:$J$70,MATCH($A$149,'１×Ｍ'!$B$50:$B$70,),MATCH($B185,'１×Ｍ'!$B$50:$J$50,))&lt;&gt;"",INDEX('１×Ｍ'!$B$50:$J$70,MATCH($A$149,'１×Ｍ'!$B$50:$B$70,),MATCH($B185,'１×Ｍ'!$B$50:$J$50,)),"")</f>
        <v>#N/A</v>
      </c>
      <c r="C185" s="399"/>
      <c r="D185" s="399"/>
      <c r="E185" s="61"/>
      <c r="F185" s="58"/>
      <c r="H185" s="400"/>
      <c r="I185" s="57"/>
      <c r="J185" s="58"/>
      <c r="L185" s="400"/>
      <c r="M185" s="57"/>
      <c r="N185" s="58"/>
      <c r="O185" s="55"/>
      <c r="P185" s="400"/>
      <c r="Q185" s="57"/>
      <c r="R185" s="58"/>
      <c r="S185" s="55"/>
    </row>
    <row r="186" spans="1:19" s="22" customFormat="1" ht="14">
      <c r="A186" s="22">
        <v>6</v>
      </c>
      <c r="B186" s="401" t="str">
        <f>IF(A186="","",IF(INDEX('１×Ｗ'!$B$2:$J$28,MATCH($A186,'１×Ｗ'!$B$3:$B$28,),MATCH($B$5,'１×Ｗ'!$B$2:$J$2,))&lt;&gt;"",INDEX('１×Ｗ'!$B$3:$J$28,MATCH($A186,'１×Ｗ'!$B$3:$B$28,),MATCH($B$5,'１×Ｗ'!$B$2:$J$2,)),""))</f>
        <v>天竜高校A</v>
      </c>
      <c r="C186" s="399" t="str">
        <f>IF(A186="","",IF(INDEX('１×Ｗ'!$B$2:$J$28,MATCH($A186,'１×Ｗ'!$B$3:$B$28,),MATCH($C$5,'１×Ｗ'!$B$2:$J$2,))&lt;&gt;"",INDEX('１×Ｗ'!$B$3:$J$28,MATCH($A186,'１×Ｗ'!$B$3:$B$28,),MATCH($C$5,'１×Ｗ'!$B$2:$J$2,)),""))</f>
        <v>伊藤</v>
      </c>
      <c r="D186" s="399">
        <v>3</v>
      </c>
      <c r="E186" s="62"/>
      <c r="F186" s="58"/>
      <c r="H186" s="400"/>
      <c r="I186" s="57"/>
      <c r="J186" s="58"/>
      <c r="L186" s="400"/>
      <c r="M186" s="57"/>
      <c r="N186" s="58"/>
      <c r="O186" s="55"/>
      <c r="P186" s="400"/>
      <c r="Q186" s="57"/>
      <c r="R186" s="57"/>
      <c r="S186" s="55"/>
    </row>
    <row r="187" spans="1:19" s="22" customFormat="1" ht="14">
      <c r="B187" s="401" t="e">
        <f ca="1">IF(INDEX('１×Ｍ'!$B$50:$J$70,MATCH($A$149,'１×Ｍ'!$B$50:$B$70,),MATCH($B187,'１×Ｍ'!$B$50:$J$50,))&lt;&gt;"",INDEX('１×Ｍ'!$B$50:$J$70,MATCH($A$149,'１×Ｍ'!$B$50:$B$70,),MATCH($B187,'１×Ｍ'!$B$50:$J$50,)),"")</f>
        <v>#N/A</v>
      </c>
      <c r="C187" s="399"/>
      <c r="D187" s="399"/>
      <c r="E187" s="61"/>
      <c r="F187" s="349"/>
      <c r="H187" s="400"/>
      <c r="I187" s="57"/>
      <c r="J187" s="58"/>
      <c r="L187" s="400"/>
      <c r="M187" s="57"/>
      <c r="N187" s="58"/>
      <c r="O187" s="55"/>
      <c r="P187" s="400"/>
      <c r="Q187" s="57"/>
      <c r="R187" s="57"/>
      <c r="S187" s="55"/>
    </row>
    <row r="188" spans="1:19" s="22" customFormat="1" ht="14">
      <c r="A188" s="22">
        <v>8</v>
      </c>
      <c r="B188" s="401" t="str">
        <f>IF(A188="","",IF(INDEX('１×Ｗ'!$B$2:$J$28,MATCH($A188,'１×Ｗ'!$B$3:$B$28,),MATCH($B$5,'１×Ｗ'!$B$2:$J$2,))&lt;&gt;"",INDEX('１×Ｗ'!$B$3:$J$28,MATCH($A188,'１×Ｗ'!$B$3:$B$28,),MATCH($B$5,'１×Ｗ'!$B$2:$J$2,)),""))</f>
        <v>沼津東高校A</v>
      </c>
      <c r="C188" s="399" t="str">
        <f>IF(A188="","",IF(INDEX('１×Ｗ'!$B$2:$J$28,MATCH($A188,'１×Ｗ'!$B$3:$B$28,),MATCH($C$5,'１×Ｗ'!$B$2:$J$2,))&lt;&gt;"",INDEX('１×Ｗ'!$B$3:$J$28,MATCH($A188,'１×Ｗ'!$B$3:$B$28,),MATCH($C$5,'１×Ｗ'!$B$2:$J$2,)),""))</f>
        <v>長倉</v>
      </c>
      <c r="D188" s="399">
        <v>4</v>
      </c>
      <c r="E188" s="62"/>
      <c r="F188" s="60"/>
      <c r="H188" s="400"/>
      <c r="I188" s="57"/>
      <c r="J188" s="58"/>
      <c r="L188" s="400"/>
      <c r="M188" s="57"/>
      <c r="N188" s="58"/>
      <c r="O188" s="55"/>
      <c r="P188" s="400"/>
      <c r="Q188" s="57"/>
      <c r="R188" s="57"/>
      <c r="S188" s="55"/>
    </row>
    <row r="189" spans="1:19" s="22" customFormat="1" ht="14">
      <c r="B189" s="401" t="e">
        <f ca="1">IF(INDEX('１×Ｍ'!$B$50:$J$70,MATCH($A$149,'１×Ｍ'!$B$50:$B$70,),MATCH($B189,'１×Ｍ'!$B$50:$J$50,))&lt;&gt;"",INDEX('１×Ｍ'!$B$50:$J$70,MATCH($A$149,'１×Ｍ'!$B$50:$B$70,),MATCH($B189,'１×Ｍ'!$B$50:$J$50,)),"")</f>
        <v>#N/A</v>
      </c>
      <c r="C189" s="399"/>
      <c r="D189" s="399"/>
      <c r="E189" s="61"/>
      <c r="F189" s="60"/>
      <c r="H189" s="400"/>
      <c r="I189" s="57"/>
      <c r="J189" s="58"/>
      <c r="L189" s="400"/>
      <c r="M189" s="57"/>
      <c r="N189" s="58"/>
      <c r="O189" s="55"/>
      <c r="P189" s="400"/>
      <c r="Q189" s="57"/>
      <c r="R189" s="57"/>
      <c r="S189" s="55"/>
    </row>
    <row r="190" spans="1:19" s="22" customFormat="1" ht="14">
      <c r="A190" s="22">
        <v>12</v>
      </c>
      <c r="B190" s="401" t="str">
        <f>IF(A190="","",IF(INDEX('１×Ｗ'!$B$2:$J$28,MATCH($A190,'１×Ｗ'!$B$3:$B$28,),MATCH($B$5,'１×Ｗ'!$B$2:$J$2,))&lt;&gt;"",INDEX('１×Ｗ'!$B$3:$J$28,MATCH($A190,'１×Ｗ'!$B$3:$B$28,),MATCH($B$5,'１×Ｗ'!$B$2:$J$2,)),""))</f>
        <v>浜松湖南高校B</v>
      </c>
      <c r="C190" s="399" t="str">
        <f>IF(A190="","",IF(INDEX('１×Ｗ'!$B$2:$J$28,MATCH($A190,'１×Ｗ'!$B$3:$B$28,),MATCH($C$5,'１×Ｗ'!$B$2:$J$2,))&lt;&gt;"",INDEX('１×Ｗ'!$B$3:$J$28,MATCH($A190,'１×Ｗ'!$B$3:$B$28,),MATCH($C$5,'１×Ｗ'!$B$2:$J$2,)),""))</f>
        <v>金岡</v>
      </c>
      <c r="D190" s="399">
        <v>5</v>
      </c>
      <c r="E190" s="65"/>
      <c r="F190" s="58"/>
      <c r="H190" s="400"/>
      <c r="I190" s="57"/>
      <c r="J190" s="58"/>
      <c r="L190" s="400"/>
      <c r="M190" s="57"/>
      <c r="N190" s="58"/>
      <c r="O190" s="57"/>
      <c r="P190" s="400"/>
      <c r="Q190" s="57"/>
      <c r="R190" s="57"/>
      <c r="S190" s="55"/>
    </row>
    <row r="191" spans="1:19" s="22" customFormat="1" ht="14">
      <c r="B191" s="401" t="e">
        <f ca="1">IF(INDEX('１×Ｍ'!$B$50:$J$70,MATCH($A$149,'１×Ｍ'!$B$50:$B$70,),MATCH($B191,'１×Ｍ'!$B$50:$J$50,))&lt;&gt;"",INDEX('１×Ｍ'!$B$50:$J$70,MATCH($A$149,'１×Ｍ'!$B$50:$B$70,),MATCH($B191,'１×Ｍ'!$B$50:$J$50,)),"")</f>
        <v>#N/A</v>
      </c>
      <c r="C191" s="399"/>
      <c r="D191" s="399"/>
      <c r="E191" s="343"/>
      <c r="F191" s="58"/>
      <c r="H191" s="400"/>
      <c r="I191" s="57"/>
      <c r="J191" s="58"/>
      <c r="L191" s="400"/>
      <c r="M191" s="57"/>
      <c r="N191" s="58"/>
      <c r="O191" s="57"/>
      <c r="P191" s="400"/>
      <c r="Q191" s="57"/>
      <c r="R191" s="57"/>
      <c r="S191" s="55"/>
    </row>
    <row r="192" spans="1:19" s="22" customFormat="1" ht="14">
      <c r="B192" s="401" t="str">
        <f>IF(A192="","",IF(INDEX('１×Ｗ'!$B$2:$J$28,MATCH($A192,'１×Ｗ'!$B$3:$B$28,),MATCH($B$5,'１×Ｗ'!$B$2:$J$2,))&lt;&gt;"",INDEX('１×Ｗ'!$B$3:$J$28,MATCH($A192,'１×Ｗ'!$B$3:$B$28,),MATCH($B$5,'１×Ｗ'!$B$2:$J$2,)),""))</f>
        <v/>
      </c>
      <c r="C192" s="399" t="str">
        <f>IF(A192="","",IF(INDEX('１×Ｗ'!$B$2:$J$28,MATCH($A192,'１×Ｗ'!$B$3:$B$28,),MATCH($C$5,'１×Ｗ'!$B$2:$J$2,))&lt;&gt;"",INDEX('１×Ｗ'!$B$3:$J$28,MATCH($A192,'１×Ｗ'!$B$3:$B$28,),MATCH($C$5,'１×Ｗ'!$B$2:$J$2,)),""))</f>
        <v/>
      </c>
      <c r="D192" s="399"/>
      <c r="E192" s="57"/>
      <c r="F192" s="175"/>
      <c r="H192" s="399"/>
      <c r="I192" s="57"/>
      <c r="J192" s="175"/>
      <c r="L192" s="400"/>
      <c r="M192" s="57"/>
      <c r="N192" s="58"/>
      <c r="O192" s="57"/>
      <c r="P192" s="400"/>
      <c r="Q192" s="57"/>
      <c r="R192" s="57"/>
      <c r="S192" s="55"/>
    </row>
    <row r="193" spans="2:19" s="22" customFormat="1" ht="14">
      <c r="B193" s="401" t="e">
        <f ca="1">IF(INDEX('１×Ｍ'!$B$50:$J$70,MATCH($A$149,'１×Ｍ'!$B$50:$B$70,),MATCH($B193,'１×Ｍ'!$B$50:$J$50,))&lt;&gt;"",INDEX('１×Ｍ'!$B$50:$J$70,MATCH($A$149,'１×Ｍ'!$B$50:$B$70,),MATCH($B193,'１×Ｍ'!$B$50:$J$50,)),"")</f>
        <v>#N/A</v>
      </c>
      <c r="C193" s="399"/>
      <c r="D193" s="399"/>
      <c r="E193" s="57"/>
      <c r="F193" s="175"/>
      <c r="H193" s="399"/>
      <c r="J193" s="175"/>
      <c r="L193" s="400"/>
      <c r="M193" s="57"/>
      <c r="N193" s="58"/>
      <c r="O193" s="57"/>
      <c r="P193" s="400"/>
      <c r="Q193" s="57"/>
      <c r="R193" s="57"/>
      <c r="S193" s="55"/>
    </row>
    <row r="194" spans="2:19" s="22" customFormat="1" ht="14.25" customHeight="1">
      <c r="C194" s="52"/>
      <c r="D194" s="338"/>
      <c r="F194" s="175"/>
      <c r="H194" s="338"/>
      <c r="K194" s="339"/>
      <c r="L194" s="57"/>
      <c r="M194" s="57"/>
      <c r="N194" s="105"/>
      <c r="O194" s="57"/>
      <c r="P194" s="55"/>
      <c r="Q194" s="55"/>
      <c r="R194" s="55"/>
      <c r="S194" s="55"/>
    </row>
    <row r="195" spans="2:19" s="22" customFormat="1" ht="14" hidden="1">
      <c r="C195" s="52"/>
      <c r="D195" s="52"/>
      <c r="F195" s="52">
        <f>F180+1</f>
        <v>18</v>
      </c>
      <c r="H195" s="341"/>
      <c r="I195" s="57"/>
      <c r="J195" s="105"/>
      <c r="K195" s="175"/>
      <c r="L195" s="57"/>
      <c r="M195" s="57"/>
      <c r="N195" s="105"/>
      <c r="O195" s="57"/>
      <c r="P195" s="57"/>
      <c r="Q195" s="341"/>
      <c r="R195" s="105"/>
      <c r="S195" s="55"/>
    </row>
    <row r="196" spans="2:19" s="22" customFormat="1" ht="14" hidden="1">
      <c r="C196" s="52"/>
      <c r="D196" s="52"/>
      <c r="E196" s="22" t="s">
        <v>87</v>
      </c>
      <c r="F196" s="174">
        <f>VLOOKUP(F195,競漕日程!$A$4:$D$41,2)</f>
        <v>0.61388888888888904</v>
      </c>
      <c r="H196" s="55"/>
      <c r="I196" s="57"/>
      <c r="J196" s="69"/>
      <c r="L196" s="57"/>
      <c r="M196" s="57"/>
      <c r="N196" s="69"/>
      <c r="O196" s="55"/>
      <c r="P196" s="57"/>
      <c r="Q196" s="57"/>
      <c r="R196" s="69"/>
      <c r="S196" s="55"/>
    </row>
    <row r="197" spans="2:19" s="22" customFormat="1" ht="14" hidden="1">
      <c r="B197" s="401" t="str">
        <f>IF(A197="","",IF(INDEX('１×Ｗ'!$B$2:$J$28,MATCH($A197,'１×Ｗ'!$B$3:$B$28,),MATCH($B$5,'１×Ｗ'!$B$2:$J$2,))&lt;&gt;"",INDEX('１×Ｗ'!$B$3:$J$28,MATCH($A197,'１×Ｗ'!$B$3:$B$28,),MATCH($B$5,'１×Ｗ'!$B$2:$J$2,)),""))</f>
        <v/>
      </c>
      <c r="C197" s="399" t="str">
        <f>IF(A197="","",IF(INDEX('１×Ｗ'!$B$2:$J$28,MATCH($A197,'１×Ｗ'!$B$3:$B$28,),MATCH($C$5,'１×Ｗ'!$B$2:$J$2,))&lt;&gt;"",INDEX('１×Ｗ'!$B$3:$J$28,MATCH($A197,'１×Ｗ'!$B$3:$B$28,),MATCH($C$5,'１×Ｗ'!$B$2:$J$2,)),""))</f>
        <v/>
      </c>
      <c r="D197" s="399"/>
      <c r="F197" s="175"/>
      <c r="H197" s="400"/>
      <c r="I197" s="57"/>
      <c r="J197" s="58"/>
      <c r="L197" s="400"/>
      <c r="M197" s="57"/>
      <c r="N197" s="58"/>
      <c r="O197" s="55"/>
      <c r="P197" s="400"/>
      <c r="Q197" s="57"/>
      <c r="R197" s="58"/>
      <c r="S197" s="55"/>
    </row>
    <row r="198" spans="2:19" s="22" customFormat="1" ht="14" hidden="1">
      <c r="B198" s="401" t="e">
        <f ca="1">IF(INDEX('１×Ｍ'!$B$50:$J$70,MATCH($A$149,'１×Ｍ'!$B$50:$B$70,),MATCH($B198,'１×Ｍ'!$B$50:$J$50,))&lt;&gt;"",INDEX('１×Ｍ'!$B$50:$J$70,MATCH($A$149,'１×Ｍ'!$B$50:$B$70,),MATCH($B198,'１×Ｍ'!$B$50:$J$50,)),"")</f>
        <v>#N/A</v>
      </c>
      <c r="C198" s="399"/>
      <c r="D198" s="399"/>
      <c r="E198" s="57"/>
      <c r="F198" s="58"/>
      <c r="H198" s="400"/>
      <c r="I198" s="57"/>
      <c r="J198" s="58"/>
      <c r="L198" s="400"/>
      <c r="M198" s="57"/>
      <c r="N198" s="58"/>
      <c r="O198" s="55"/>
      <c r="P198" s="400"/>
      <c r="Q198" s="57"/>
      <c r="R198" s="58"/>
      <c r="S198" s="58"/>
    </row>
    <row r="199" spans="2:19" s="22" customFormat="1" ht="14" hidden="1">
      <c r="B199" s="401" t="str">
        <f>IF(A199="","",IF(INDEX('１×Ｗ'!$B$2:$J$28,MATCH($A199,'１×Ｗ'!$B$3:$B$28,),MATCH($B$5,'１×Ｗ'!$B$2:$J$2,))&lt;&gt;"",INDEX('１×Ｗ'!$B$3:$J$28,MATCH($A199,'１×Ｗ'!$B$3:$B$28,),MATCH($B$5,'１×Ｗ'!$B$2:$J$2,)),""))</f>
        <v/>
      </c>
      <c r="C199" s="399" t="str">
        <f>IF(A199="","",IF(INDEX('１×Ｗ'!$B$2:$J$28,MATCH($A199,'１×Ｗ'!$B$3:$B$28,),MATCH($C$5,'１×Ｗ'!$B$2:$J$2,))&lt;&gt;"",INDEX('１×Ｗ'!$B$3:$J$28,MATCH($A199,'１×Ｗ'!$B$3:$B$28,),MATCH($C$5,'１×Ｗ'!$B$2:$J$2,)),""))</f>
        <v/>
      </c>
      <c r="D199" s="399">
        <v>2</v>
      </c>
      <c r="E199" s="72"/>
      <c r="F199" s="58"/>
      <c r="H199" s="400"/>
      <c r="I199" s="57"/>
      <c r="J199" s="58"/>
      <c r="L199" s="400"/>
      <c r="M199" s="57"/>
      <c r="N199" s="58"/>
      <c r="O199" s="55"/>
      <c r="P199" s="400"/>
      <c r="Q199" s="57"/>
      <c r="R199" s="58"/>
      <c r="S199" s="55"/>
    </row>
    <row r="200" spans="2:19" s="22" customFormat="1" ht="14" hidden="1">
      <c r="B200" s="401" t="e">
        <f ca="1">IF(INDEX('１×Ｍ'!$B$50:$J$70,MATCH($A$149,'１×Ｍ'!$B$50:$B$70,),MATCH($B200,'１×Ｍ'!$B$50:$J$50,))&lt;&gt;"",INDEX('１×Ｍ'!$B$50:$J$70,MATCH($A$149,'１×Ｍ'!$B$50:$B$70,),MATCH($B200,'１×Ｍ'!$B$50:$J$50,)),"")</f>
        <v>#N/A</v>
      </c>
      <c r="C200" s="399"/>
      <c r="D200" s="399"/>
      <c r="E200" s="61"/>
      <c r="F200" s="60"/>
      <c r="H200" s="400"/>
      <c r="I200" s="57"/>
      <c r="J200" s="58"/>
      <c r="L200" s="400"/>
      <c r="M200" s="57"/>
      <c r="N200" s="58"/>
      <c r="O200" s="55"/>
      <c r="P200" s="400"/>
      <c r="Q200" s="57"/>
      <c r="R200" s="58"/>
      <c r="S200" s="55"/>
    </row>
    <row r="201" spans="2:19" s="22" customFormat="1" ht="14" hidden="1">
      <c r="B201" s="401" t="str">
        <f>IF(A201="","",IF(INDEX('１×Ｗ'!$B$2:$J$28,MATCH($A201,'１×Ｗ'!$B$3:$B$28,),MATCH($B$5,'１×Ｗ'!$B$2:$J$2,))&lt;&gt;"",INDEX('１×Ｗ'!$B$3:$J$28,MATCH($A201,'１×Ｗ'!$B$3:$B$28,),MATCH($B$5,'１×Ｗ'!$B$2:$J$2,)),""))</f>
        <v/>
      </c>
      <c r="C201" s="399" t="str">
        <f>IF(A201="","",IF(INDEX('１×Ｗ'!$B$2:$J$28,MATCH($A201,'１×Ｗ'!$B$3:$B$28,),MATCH($C$5,'１×Ｗ'!$B$2:$J$2,))&lt;&gt;"",INDEX('１×Ｗ'!$B$3:$J$28,MATCH($A201,'１×Ｗ'!$B$3:$B$28,),MATCH($C$5,'１×Ｗ'!$B$2:$J$2,)),""))</f>
        <v/>
      </c>
      <c r="D201" s="399">
        <v>3</v>
      </c>
      <c r="E201" s="62"/>
      <c r="F201" s="349"/>
      <c r="H201" s="400"/>
      <c r="I201" s="57"/>
      <c r="J201" s="58"/>
      <c r="L201" s="400"/>
      <c r="M201" s="57"/>
      <c r="N201" s="58"/>
      <c r="O201" s="55"/>
      <c r="P201" s="400"/>
      <c r="Q201" s="57"/>
      <c r="R201" s="57"/>
      <c r="S201" s="55"/>
    </row>
    <row r="202" spans="2:19" s="22" customFormat="1" ht="14" hidden="1">
      <c r="B202" s="401" t="e">
        <f ca="1">IF(INDEX('１×Ｍ'!$B$50:$J$70,MATCH($A$149,'１×Ｍ'!$B$50:$B$70,),MATCH($B202,'１×Ｍ'!$B$50:$J$50,))&lt;&gt;"",INDEX('１×Ｍ'!$B$50:$J$70,MATCH($A$149,'１×Ｍ'!$B$50:$B$70,),MATCH($B202,'１×Ｍ'!$B$50:$J$50,)),"")</f>
        <v>#N/A</v>
      </c>
      <c r="C202" s="399"/>
      <c r="D202" s="399"/>
      <c r="E202" s="61"/>
      <c r="F202" s="350"/>
      <c r="H202" s="400"/>
      <c r="I202" s="57"/>
      <c r="J202" s="58"/>
      <c r="L202" s="400"/>
      <c r="M202" s="57"/>
      <c r="N202" s="58"/>
      <c r="O202" s="55"/>
      <c r="P202" s="400"/>
      <c r="Q202" s="57"/>
      <c r="R202" s="57"/>
      <c r="S202" s="55"/>
    </row>
    <row r="203" spans="2:19" s="22" customFormat="1" ht="14" hidden="1">
      <c r="B203" s="401" t="str">
        <f>IF(A203="","",IF(INDEX('１×Ｗ'!$B$2:$J$28,MATCH($A203,'１×Ｗ'!$B$3:$B$28,),MATCH($B$5,'１×Ｗ'!$B$2:$J$2,))&lt;&gt;"",INDEX('１×Ｗ'!$B$3:$J$28,MATCH($A203,'１×Ｗ'!$B$3:$B$28,),MATCH($B$5,'１×Ｗ'!$B$2:$J$2,)),""))</f>
        <v/>
      </c>
      <c r="C203" s="399" t="str">
        <f>IF(A203="","",IF(INDEX('１×Ｗ'!$B$2:$J$28,MATCH($A203,'１×Ｗ'!$B$3:$B$28,),MATCH($C$5,'１×Ｗ'!$B$2:$J$2,))&lt;&gt;"",INDEX('１×Ｗ'!$B$3:$J$28,MATCH($A203,'１×Ｗ'!$B$3:$B$28,),MATCH($C$5,'１×Ｗ'!$B$2:$J$2,)),""))</f>
        <v/>
      </c>
      <c r="D203" s="399">
        <v>4</v>
      </c>
      <c r="E203" s="62"/>
      <c r="F203" s="58"/>
      <c r="H203" s="400"/>
      <c r="I203" s="57"/>
      <c r="J203" s="58"/>
      <c r="L203" s="400"/>
      <c r="M203" s="57"/>
      <c r="N203" s="58"/>
      <c r="O203" s="55"/>
      <c r="P203" s="400"/>
      <c r="Q203" s="57"/>
      <c r="R203" s="57"/>
      <c r="S203" s="55"/>
    </row>
    <row r="204" spans="2:19" s="22" customFormat="1" ht="14" hidden="1">
      <c r="B204" s="401" t="e">
        <f ca="1">IF(INDEX('１×Ｍ'!$B$50:$J$70,MATCH($A$149,'１×Ｍ'!$B$50:$B$70,),MATCH($B204,'１×Ｍ'!$B$50:$J$50,))&lt;&gt;"",INDEX('１×Ｍ'!$B$50:$J$70,MATCH($A$149,'１×Ｍ'!$B$50:$B$70,),MATCH($B204,'１×Ｍ'!$B$50:$J$50,)),"")</f>
        <v>#N/A</v>
      </c>
      <c r="C204" s="399"/>
      <c r="D204" s="399"/>
      <c r="E204" s="343"/>
      <c r="F204" s="58"/>
      <c r="H204" s="400"/>
      <c r="I204" s="57"/>
      <c r="J204" s="58"/>
      <c r="L204" s="400"/>
      <c r="M204" s="57"/>
      <c r="N204" s="58"/>
      <c r="O204" s="55"/>
      <c r="P204" s="400"/>
      <c r="Q204" s="57"/>
      <c r="R204" s="57"/>
      <c r="S204" s="55"/>
    </row>
    <row r="205" spans="2:19" s="22" customFormat="1" ht="14" hidden="1">
      <c r="B205" s="401" t="str">
        <f>IF(A205="","",IF(INDEX('１×Ｗ'!$B$2:$J$28,MATCH($A205,'１×Ｗ'!$B$3:$B$28,),MATCH($B$5,'１×Ｗ'!$B$2:$J$2,))&lt;&gt;"",INDEX('１×Ｗ'!$B$3:$J$28,MATCH($A205,'１×Ｗ'!$B$3:$B$28,),MATCH($B$5,'１×Ｗ'!$B$2:$J$2,)),""))</f>
        <v/>
      </c>
      <c r="C205" s="399" t="str">
        <f>IF(A205="","",IF(INDEX('１×Ｗ'!$B$2:$J$28,MATCH($A205,'１×Ｗ'!$B$3:$B$28,),MATCH($C$5,'１×Ｗ'!$B$2:$J$2,))&lt;&gt;"",INDEX('１×Ｗ'!$B$3:$J$28,MATCH($A205,'１×Ｗ'!$B$3:$B$28,),MATCH($C$5,'１×Ｗ'!$B$2:$J$2,)),""))</f>
        <v/>
      </c>
      <c r="D205" s="399"/>
      <c r="E205" s="57"/>
      <c r="F205" s="58"/>
      <c r="H205" s="400"/>
      <c r="I205" s="57"/>
      <c r="J205" s="58"/>
      <c r="L205" s="400"/>
      <c r="M205" s="57"/>
      <c r="N205" s="58"/>
      <c r="O205" s="57"/>
      <c r="P205" s="400"/>
      <c r="Q205" s="57"/>
      <c r="R205" s="57"/>
      <c r="S205" s="55"/>
    </row>
    <row r="206" spans="2:19" s="22" customFormat="1" ht="14" hidden="1">
      <c r="B206" s="401" t="e">
        <f ca="1">IF(INDEX('１×Ｍ'!$B$50:$J$70,MATCH($A$149,'１×Ｍ'!$B$50:$B$70,),MATCH($B206,'１×Ｍ'!$B$50:$J$50,))&lt;&gt;"",INDEX('１×Ｍ'!$B$50:$J$70,MATCH($A$149,'１×Ｍ'!$B$50:$B$70,),MATCH($B206,'１×Ｍ'!$B$50:$J$50,)),"")</f>
        <v>#N/A</v>
      </c>
      <c r="C206" s="399"/>
      <c r="D206" s="399"/>
      <c r="E206" s="57"/>
      <c r="F206" s="175"/>
      <c r="H206" s="400"/>
      <c r="I206" s="57"/>
      <c r="J206" s="58"/>
      <c r="L206" s="400"/>
      <c r="M206" s="57"/>
      <c r="N206" s="58"/>
      <c r="O206" s="57"/>
      <c r="P206" s="400"/>
      <c r="Q206" s="57"/>
      <c r="R206" s="57"/>
      <c r="S206" s="55"/>
    </row>
    <row r="207" spans="2:19" s="22" customFormat="1" ht="14" hidden="1">
      <c r="B207" s="401" t="str">
        <f>IF(A207="","",IF(INDEX('１×Ｗ'!$B$2:$J$28,MATCH($A207,'１×Ｗ'!$B$3:$B$28,),MATCH($B$5,'１×Ｗ'!$B$2:$J$2,))&lt;&gt;"",INDEX('１×Ｗ'!$B$3:$J$28,MATCH($A207,'１×Ｗ'!$B$3:$B$28,),MATCH($B$5,'１×Ｗ'!$B$2:$J$2,)),""))</f>
        <v/>
      </c>
      <c r="C207" s="399" t="str">
        <f>IF(A207="","",IF(INDEX('１×Ｗ'!$B$2:$J$28,MATCH($A207,'１×Ｗ'!$B$3:$B$28,),MATCH($C$5,'１×Ｗ'!$B$2:$J$2,))&lt;&gt;"",INDEX('１×Ｗ'!$B$3:$J$28,MATCH($A207,'１×Ｗ'!$B$3:$B$28,),MATCH($C$5,'１×Ｗ'!$B$2:$J$2,)),""))</f>
        <v/>
      </c>
      <c r="D207" s="399"/>
      <c r="E207" s="57"/>
      <c r="F207" s="175"/>
      <c r="H207" s="399"/>
      <c r="I207" s="57"/>
      <c r="J207" s="175"/>
      <c r="L207" s="400"/>
      <c r="M207" s="57"/>
      <c r="N207" s="58"/>
      <c r="O207" s="57"/>
      <c r="P207" s="337"/>
      <c r="Q207" s="57"/>
      <c r="R207" s="57"/>
      <c r="S207" s="55"/>
    </row>
    <row r="208" spans="2:19" s="22" customFormat="1" ht="14" hidden="1">
      <c r="B208" s="401" t="e">
        <f ca="1">IF(INDEX('１×Ｍ'!$B$50:$J$70,MATCH($A$149,'１×Ｍ'!$B$50:$B$70,),MATCH($B208,'１×Ｍ'!$B$50:$J$50,))&lt;&gt;"",INDEX('１×Ｍ'!$B$50:$J$70,MATCH($A$149,'１×Ｍ'!$B$50:$B$70,),MATCH($B208,'１×Ｍ'!$B$50:$J$50,)),"")</f>
        <v>#N/A</v>
      </c>
      <c r="C208" s="399"/>
      <c r="D208" s="399"/>
      <c r="E208" s="57"/>
      <c r="F208" s="175"/>
      <c r="H208" s="399"/>
      <c r="J208" s="175"/>
      <c r="L208" s="400"/>
      <c r="M208" s="57"/>
      <c r="N208" s="58"/>
      <c r="O208" s="57"/>
      <c r="P208" s="400"/>
      <c r="Q208" s="57"/>
      <c r="R208" s="57"/>
      <c r="S208" s="55"/>
    </row>
    <row r="209" spans="2:19" s="22" customFormat="1" ht="14" hidden="1">
      <c r="B209" s="121"/>
      <c r="C209" s="120"/>
      <c r="D209" s="120"/>
      <c r="E209" s="57"/>
      <c r="F209" s="58"/>
      <c r="H209" s="163"/>
      <c r="I209" s="57"/>
      <c r="J209" s="57"/>
      <c r="K209" s="57"/>
      <c r="L209" s="164"/>
      <c r="M209" s="57"/>
      <c r="N209" s="57"/>
      <c r="P209" s="400"/>
      <c r="Q209" s="57"/>
      <c r="R209" s="58"/>
      <c r="S209" s="55"/>
    </row>
    <row r="210" spans="2:19" s="22" customFormat="1" ht="14.5" hidden="1" customHeight="1">
      <c r="B210" s="16"/>
      <c r="C210" s="120"/>
      <c r="D210" s="52"/>
      <c r="F210" s="52">
        <v>4</v>
      </c>
      <c r="H210" s="163"/>
      <c r="I210" s="57"/>
      <c r="J210" s="57"/>
      <c r="K210" s="57"/>
      <c r="L210" s="164"/>
      <c r="M210" s="57"/>
      <c r="N210" s="57"/>
      <c r="P210" s="400"/>
      <c r="Q210" s="57"/>
      <c r="R210" s="58"/>
      <c r="S210" s="55"/>
    </row>
    <row r="211" spans="2:19" s="22" customFormat="1" ht="14.5" hidden="1" customHeight="1">
      <c r="B211" s="16"/>
      <c r="C211" s="120"/>
      <c r="D211" s="52"/>
      <c r="E211" s="22" t="s">
        <v>87</v>
      </c>
      <c r="F211" s="54">
        <v>0.43333333333333335</v>
      </c>
      <c r="H211" s="163"/>
      <c r="I211" s="57"/>
      <c r="J211" s="57"/>
      <c r="K211" s="57"/>
      <c r="L211" s="164"/>
      <c r="M211" s="57"/>
      <c r="N211" s="57"/>
      <c r="P211" s="400"/>
      <c r="Q211" s="55"/>
      <c r="R211" s="57"/>
      <c r="S211" s="55"/>
    </row>
    <row r="212" spans="2:19" s="22" customFormat="1" ht="14.5" hidden="1" customHeight="1">
      <c r="B212" s="406" t="e">
        <f>IF(INDEX('１×Ｗ'!$B$2:$J$28,MATCH($A$212,'１×Ｗ'!$B$3:$B$28,),MATCH($B5,'１×Ｗ'!$B$2:$J$2,))&lt;&gt;"",INDEX('１×Ｗ'!$B$3:$J$28,MATCH($A$212,'１×Ｗ'!$B$3:$B$28,),MATCH($B5,'１×Ｗ'!$B$2:$J$2,)),"")</f>
        <v>#N/A</v>
      </c>
      <c r="C212" s="408" t="e">
        <f>IF(INDEX('１×Ｗ'!$B$2:$J$28,MATCH($A$212,'１×Ｗ'!$B$3:$B$28,),MATCH($C5,'１×Ｗ'!$B$2:$J$2,))&lt;&gt;"",INDEX('１×Ｗ'!$B$3:$J$28,MATCH($A$212,'１×Ｗ'!$B$3:$B$28,),MATCH($C5,'１×Ｗ'!$B$2:$J$2,)),"")</f>
        <v>#N/A</v>
      </c>
      <c r="D212" s="399"/>
      <c r="F212" s="53"/>
      <c r="H212" s="163"/>
      <c r="I212" s="57"/>
      <c r="J212" s="57"/>
      <c r="K212" s="57"/>
      <c r="L212" s="164"/>
      <c r="M212" s="57"/>
      <c r="N212" s="57"/>
      <c r="P212" s="400"/>
      <c r="Q212" s="55"/>
      <c r="R212" s="57"/>
      <c r="S212" s="55"/>
    </row>
    <row r="213" spans="2:19" s="22" customFormat="1" ht="14.5" hidden="1" customHeight="1">
      <c r="B213" s="406" t="e">
        <f ca="1">IF(INDEX('１×Ｍ'!$B$50:$J$70,MATCH($A$149,'１×Ｍ'!$B$50:$B$70,),MATCH($B213,'１×Ｍ'!$B$50:$J$50,))&lt;&gt;"",INDEX('１×Ｍ'!$B$50:$J$70,MATCH($A$149,'１×Ｍ'!$B$50:$B$70,),MATCH($B213,'１×Ｍ'!$B$50:$J$50,)),"")</f>
        <v>#N/A</v>
      </c>
      <c r="C213" s="408"/>
      <c r="D213" s="399"/>
      <c r="E213" s="57"/>
      <c r="F213" s="58"/>
      <c r="H213" s="163"/>
      <c r="I213" s="57"/>
      <c r="J213" s="57"/>
      <c r="K213" s="57"/>
      <c r="L213" s="164"/>
      <c r="M213" s="57"/>
      <c r="N213" s="57"/>
      <c r="P213" s="400"/>
      <c r="Q213" s="55"/>
      <c r="R213" s="57"/>
      <c r="S213" s="55"/>
    </row>
    <row r="214" spans="2:19" s="22" customFormat="1" ht="14.5" hidden="1" customHeight="1">
      <c r="B214" s="401" t="e">
        <f>IF(INDEX('１×Ｗ'!$B$2:$J$28,MATCH($A$214,'１×Ｗ'!$B$3:$B$28,),MATCH($B5,'１×Ｗ'!$B$2:$J$2,))&lt;&gt;"",INDEX('１×Ｗ'!$B$3:$J$28,MATCH($A$214,'１×Ｗ'!$B$3:$B$28,),MATCH($B5,'１×Ｗ'!$B$2:$J$2,)),"")</f>
        <v>#N/A</v>
      </c>
      <c r="C214" s="399" t="e">
        <f>IF(INDEX('１×Ｗ'!$B$2:$J$28,MATCH($A$214,'１×Ｗ'!$B$3:$B$28,),MATCH($C5,'１×Ｗ'!$B$2:$J$2,))&lt;&gt;"",INDEX('１×Ｗ'!$B$3:$J$28,MATCH($A$214,'１×Ｗ'!$B$3:$B$28,),MATCH($C5,'１×Ｗ'!$B$2:$J$2,)),"")</f>
        <v>#N/A</v>
      </c>
      <c r="D214" s="399">
        <v>2</v>
      </c>
      <c r="E214" s="72"/>
      <c r="F214" s="58"/>
      <c r="H214" s="163"/>
      <c r="I214" s="57"/>
      <c r="J214" s="57"/>
      <c r="K214" s="57"/>
      <c r="L214" s="164"/>
      <c r="M214" s="57"/>
      <c r="N214" s="57"/>
      <c r="P214" s="400"/>
      <c r="Q214" s="55"/>
      <c r="R214" s="57"/>
      <c r="S214" s="55"/>
    </row>
    <row r="215" spans="2:19" s="22" customFormat="1" ht="14.5" hidden="1" customHeight="1">
      <c r="B215" s="401" t="e">
        <f ca="1">IF(INDEX('１×Ｍ'!$B$50:$J$70,MATCH($A$149,'１×Ｍ'!$B$50:$B$70,),MATCH($B215,'１×Ｍ'!$B$50:$J$50,))&lt;&gt;"",INDEX('１×Ｍ'!$B$50:$J$70,MATCH($A$149,'１×Ｍ'!$B$50:$B$70,),MATCH($B215,'１×Ｍ'!$B$50:$J$50,)),"")</f>
        <v>#N/A</v>
      </c>
      <c r="C215" s="399"/>
      <c r="D215" s="399"/>
      <c r="E215" s="61"/>
      <c r="F215" s="60"/>
      <c r="H215" s="163"/>
      <c r="I215" s="57"/>
      <c r="J215" s="57"/>
      <c r="K215" s="57"/>
      <c r="L215" s="164"/>
      <c r="M215" s="57"/>
      <c r="N215" s="57"/>
      <c r="P215" s="400"/>
      <c r="Q215" s="55"/>
      <c r="R215" s="57"/>
      <c r="S215" s="55"/>
    </row>
    <row r="216" spans="2:19" s="22" customFormat="1" ht="14.5" hidden="1" customHeight="1">
      <c r="B216" s="401" t="e">
        <f>IF(INDEX('１×Ｗ'!$B$2:$J$28,MATCH($A$216,'１×Ｗ'!$B$3:$B$28,),MATCH($B5,'１×Ｗ'!$B$2:$J$2,))&lt;&gt;"",INDEX('１×Ｗ'!$B$3:$J$28,MATCH($A$216,'１×Ｗ'!$B$3:$B$28,),MATCH($B5,'１×Ｗ'!$B$2:$J$2,)),"")</f>
        <v>#N/A</v>
      </c>
      <c r="C216" s="399" t="e">
        <f>IF(INDEX('１×Ｗ'!$B$2:$J$28,MATCH($A$216,'１×Ｗ'!$B$3:$B$28,),MATCH($C5,'１×Ｗ'!$B$2:$J$2,))&lt;&gt;"",INDEX('１×Ｗ'!$B$3:$J$28,MATCH($A$216,'１×Ｗ'!$B$3:$B$28,),MATCH($C5,'１×Ｗ'!$B$2:$J$2,)),"")</f>
        <v>#N/A</v>
      </c>
      <c r="D216" s="399">
        <v>3</v>
      </c>
      <c r="E216" s="62"/>
      <c r="F216" s="60"/>
      <c r="H216" s="163"/>
      <c r="I216" s="57"/>
      <c r="J216" s="57"/>
      <c r="K216" s="57"/>
      <c r="L216" s="164"/>
      <c r="M216" s="57"/>
      <c r="N216" s="57"/>
      <c r="P216" s="400"/>
      <c r="Q216" s="55"/>
      <c r="R216" s="57"/>
      <c r="S216" s="55"/>
    </row>
    <row r="217" spans="2:19" s="22" customFormat="1" ht="14.5" hidden="1" customHeight="1">
      <c r="B217" s="401" t="e">
        <f ca="1">IF(INDEX('１×Ｍ'!$B$50:$J$70,MATCH($A$149,'１×Ｍ'!$B$50:$B$70,),MATCH($B217,'１×Ｍ'!$B$50:$J$50,))&lt;&gt;"",INDEX('１×Ｍ'!$B$50:$J$70,MATCH($A$149,'１×Ｍ'!$B$50:$B$70,),MATCH($B217,'１×Ｍ'!$B$50:$J$50,)),"")</f>
        <v>#N/A</v>
      </c>
      <c r="C217" s="399"/>
      <c r="D217" s="399"/>
      <c r="E217" s="61"/>
      <c r="F217" s="60"/>
      <c r="H217" s="163"/>
      <c r="I217" s="167"/>
      <c r="J217" s="57"/>
      <c r="K217" s="57"/>
      <c r="L217" s="164"/>
      <c r="M217" s="57"/>
      <c r="N217" s="57"/>
      <c r="P217" s="400"/>
      <c r="Q217" s="55"/>
      <c r="R217" s="57"/>
      <c r="S217" s="55"/>
    </row>
    <row r="218" spans="2:19" s="22" customFormat="1" ht="14.5" hidden="1" customHeight="1">
      <c r="B218" s="401" t="e">
        <f>IF(INDEX('１×Ｗ'!$B$2:$J$28,MATCH($A$218,'１×Ｗ'!$B$3:$B$28,),MATCH($B5,'１×Ｗ'!$B$2:$J$2,))&lt;&gt;"",INDEX('１×Ｗ'!$B$3:$J$28,MATCH($A$218,'１×Ｗ'!$B$3:$B$28,),MATCH($B5,'１×Ｗ'!$B$2:$J$2,)),"")</f>
        <v>#N/A</v>
      </c>
      <c r="C218" s="399" t="e">
        <f>IF(INDEX('１×Ｗ'!$B$2:$J$28,MATCH($A$218,'１×Ｗ'!$B$3:$B$28,),MATCH($C5,'１×Ｗ'!$B$2:$J$2,))&lt;&gt;"",INDEX('１×Ｗ'!$B$3:$J$28,MATCH($A$218,'１×Ｗ'!$B$3:$B$28,),MATCH($C5,'１×Ｗ'!$B$2:$J$2,)),"")</f>
        <v>#N/A</v>
      </c>
      <c r="D218" s="399">
        <v>4</v>
      </c>
      <c r="E218" s="62"/>
      <c r="F218" s="60"/>
      <c r="H218" s="163"/>
      <c r="J218" s="57"/>
      <c r="K218" s="57"/>
      <c r="L218" s="164"/>
      <c r="M218" s="57"/>
      <c r="N218" s="57"/>
      <c r="P218" s="400"/>
      <c r="Q218" s="55"/>
      <c r="R218" s="57"/>
      <c r="S218" s="55"/>
    </row>
    <row r="219" spans="2:19" s="22" customFormat="1" ht="14.5" hidden="1" customHeight="1">
      <c r="B219" s="401" t="e">
        <f ca="1">IF(INDEX('１×Ｍ'!$B$50:$J$70,MATCH($A$149,'１×Ｍ'!$B$50:$B$70,),MATCH($B219,'１×Ｍ'!$B$50:$J$50,))&lt;&gt;"",INDEX('１×Ｍ'!$B$50:$J$70,MATCH($A$149,'１×Ｍ'!$B$50:$B$70,),MATCH($B219,'１×Ｍ'!$B$50:$J$50,)),"")</f>
        <v>#N/A</v>
      </c>
      <c r="C219" s="399"/>
      <c r="D219" s="399"/>
      <c r="E219" s="61"/>
      <c r="F219" s="60"/>
      <c r="H219" s="163"/>
      <c r="J219" s="57"/>
      <c r="K219" s="57"/>
      <c r="L219" s="164"/>
      <c r="M219" s="57"/>
      <c r="N219" s="57"/>
      <c r="P219" s="400"/>
      <c r="Q219" s="55"/>
      <c r="R219" s="57"/>
      <c r="S219" s="55"/>
    </row>
    <row r="220" spans="2:19" s="22" customFormat="1" ht="14.5" hidden="1" customHeight="1">
      <c r="B220" s="401" t="e">
        <f>IF(INDEX('１×Ｗ'!$B$2:$J$28,MATCH($A$220,'１×Ｗ'!$B$3:$B$28,),MATCH($B5,'１×Ｗ'!$B$2:$J$2,))&lt;&gt;"",INDEX('１×Ｗ'!$B$3:$J$28,MATCH($A$220,'１×Ｗ'!$B$3:$B$28,),MATCH($B5,'１×Ｗ'!$B$2:$J$2,)),"")</f>
        <v>#N/A</v>
      </c>
      <c r="C220" s="399" t="e">
        <f>IF(INDEX('１×Ｗ'!$B$2:$J$28,MATCH($A$220,'１×Ｗ'!$B$3:$B$28,),MATCH($C5,'１×Ｗ'!$B$2:$J$2,))&lt;&gt;"",INDEX('１×Ｗ'!$B$3:$J$28,MATCH($A$220,'１×Ｗ'!$B$3:$B$28,),MATCH($C5,'１×Ｗ'!$B$2:$J$2,)),"")</f>
        <v>#N/A</v>
      </c>
      <c r="D220" s="399">
        <v>5</v>
      </c>
      <c r="E220" s="65"/>
      <c r="F220" s="58"/>
      <c r="H220" s="163"/>
      <c r="I220" s="57"/>
      <c r="J220" s="57"/>
      <c r="K220" s="57"/>
      <c r="L220" s="164"/>
      <c r="M220" s="57"/>
      <c r="N220" s="57"/>
      <c r="P220" s="400"/>
      <c r="Q220" s="55"/>
      <c r="R220" s="57"/>
      <c r="S220" s="55"/>
    </row>
    <row r="221" spans="2:19" s="22" customFormat="1" ht="14.5" hidden="1" customHeight="1">
      <c r="B221" s="401" t="e">
        <f ca="1">IF(INDEX('１×Ｍ'!$B$50:$J$70,MATCH($A$149,'１×Ｍ'!$B$50:$B$70,),MATCH($B221,'１×Ｍ'!$B$50:$J$50,))&lt;&gt;"",INDEX('１×Ｍ'!$B$50:$J$70,MATCH($A$149,'１×Ｍ'!$B$50:$B$70,),MATCH($B221,'１×Ｍ'!$B$50:$J$50,)),"")</f>
        <v>#N/A</v>
      </c>
      <c r="C221" s="399"/>
      <c r="D221" s="399"/>
      <c r="E221" s="59"/>
      <c r="F221" s="58"/>
      <c r="H221" s="163"/>
      <c r="I221" s="57"/>
      <c r="J221" s="57"/>
      <c r="K221" s="57"/>
      <c r="L221" s="164"/>
      <c r="M221" s="57"/>
      <c r="N221" s="57"/>
      <c r="P221" s="400"/>
      <c r="Q221" s="55"/>
      <c r="R221" s="57"/>
      <c r="S221" s="23"/>
    </row>
    <row r="222" spans="2:19" s="22" customFormat="1" ht="14.5" hidden="1" customHeight="1">
      <c r="B222" s="406" t="e">
        <f>IF(INDEX('１×Ｗ'!$B$2:$J$28,MATCH($A$222,'１×Ｗ'!$B$3:$B$28,),MATCH($B5,'１×Ｗ'!$B$2:$J$2,))&lt;&gt;"",INDEX('１×Ｗ'!$B$3:$J$28,MATCH($A$222,'１×Ｗ'!$B$3:$B$28,),MATCH($B5,'１×Ｗ'!$B$2:$J$2,)),"")</f>
        <v>#N/A</v>
      </c>
      <c r="C222" s="408" t="e">
        <f>IF(INDEX('１×Ｗ'!$B$2:$J$28,MATCH($A$222,'１×Ｗ'!$B$3:$B$28,),MATCH($C5,'１×Ｗ'!$B$2:$J$2,))&lt;&gt;"",INDEX('１×Ｗ'!$B$3:$J$28,MATCH($A$222,'１×Ｗ'!$B$3:$B$28,),MATCH($C5,'１×Ｗ'!$B$2:$J$2,)),"")</f>
        <v>#N/A</v>
      </c>
      <c r="D222" s="408">
        <v>6</v>
      </c>
      <c r="E222" s="57"/>
      <c r="F222" s="58"/>
      <c r="H222" s="163"/>
      <c r="I222" s="57"/>
      <c r="J222" s="57"/>
      <c r="K222" s="57"/>
      <c r="L222" s="164"/>
      <c r="M222" s="57"/>
      <c r="N222" s="57"/>
      <c r="P222" s="400"/>
      <c r="Q222" s="55"/>
      <c r="R222" s="57"/>
    </row>
    <row r="223" spans="2:19" s="22" customFormat="1" ht="14.5" hidden="1" customHeight="1">
      <c r="B223" s="406" t="e">
        <f ca="1">IF(INDEX('１×Ｍ'!$B$50:$J$70,MATCH($A$149,'１×Ｍ'!$B$50:$B$70,),MATCH($B223,'１×Ｍ'!$B$50:$J$50,))&lt;&gt;"",INDEX('１×Ｍ'!$B$50:$J$70,MATCH($A$149,'１×Ｍ'!$B$50:$B$70,),MATCH($B223,'１×Ｍ'!$B$50:$J$50,)),"")</f>
        <v>#N/A</v>
      </c>
      <c r="C223" s="408"/>
      <c r="D223" s="408"/>
      <c r="E223" s="57"/>
      <c r="F223" s="58"/>
      <c r="H223" s="163"/>
      <c r="I223" s="57"/>
      <c r="J223" s="57"/>
      <c r="K223" s="57"/>
      <c r="L223" s="164"/>
      <c r="M223" s="57"/>
      <c r="N223" s="57"/>
    </row>
    <row r="224" spans="2:19" s="22" customFormat="1" ht="14.5" hidden="1" customHeight="1">
      <c r="B224" s="16"/>
      <c r="C224" s="120"/>
      <c r="D224" s="64"/>
      <c r="E224" s="57"/>
      <c r="F224" s="67"/>
      <c r="H224" s="163"/>
      <c r="I224" s="57"/>
      <c r="J224" s="57"/>
      <c r="K224" s="57"/>
      <c r="L224" s="164"/>
      <c r="M224" s="57"/>
      <c r="N224" s="57"/>
    </row>
    <row r="225" spans="1:18" s="22" customFormat="1" ht="14.5" hidden="1" customHeight="1">
      <c r="B225" s="16"/>
      <c r="C225" s="120"/>
      <c r="D225" s="64"/>
      <c r="E225" s="57"/>
      <c r="F225" s="69"/>
      <c r="H225" s="163"/>
      <c r="I225" s="57"/>
      <c r="J225" s="57"/>
      <c r="K225" s="57"/>
      <c r="L225" s="164"/>
      <c r="M225" s="57"/>
      <c r="N225" s="57"/>
    </row>
    <row r="226" spans="1:18" s="22" customFormat="1" ht="14.5" hidden="1" customHeight="1">
      <c r="B226" s="401" t="e">
        <f>IF(INDEX('１×Ｗ'!$B$2:$J$28,MATCH($A$226,'１×Ｗ'!$B$3:$B$28,),MATCH($B5,'１×Ｗ'!$B$2:$J$2,))&lt;&gt;"",INDEX('１×Ｗ'!$B$3:$J$28,MATCH($A$226,'１×Ｗ'!$B$3:$B$28,),MATCH($B5,'１×Ｗ'!$B$2:$J$2,)),"")</f>
        <v>#N/A</v>
      </c>
      <c r="C226" s="399" t="e">
        <f>IF(INDEX('１×Ｗ'!$B$2:$J$28,MATCH($A$226,'１×Ｗ'!$B$3:$B$28,),MATCH($C5,'１×Ｗ'!$B$2:$J$2,))&lt;&gt;"",INDEX('１×Ｗ'!$B$3:$J$28,MATCH($A$226,'１×Ｗ'!$B$3:$B$28,),MATCH($C5,'１×Ｗ'!$B$2:$J$2,)),"")</f>
        <v>#N/A</v>
      </c>
      <c r="D226" s="400"/>
      <c r="E226" s="57"/>
      <c r="F226" s="58"/>
      <c r="H226" s="163"/>
      <c r="I226" s="57"/>
      <c r="J226" s="57"/>
      <c r="K226" s="57"/>
      <c r="L226" s="164"/>
      <c r="M226" s="57"/>
      <c r="N226" s="57"/>
    </row>
    <row r="227" spans="1:18" s="22" customFormat="1" ht="14.5" hidden="1" customHeight="1">
      <c r="B227" s="401" t="e">
        <f ca="1">IF(INDEX('１×Ｍ'!$B$50:$J$70,MATCH($A$149,'１×Ｍ'!$B$50:$B$70,),MATCH($B227,'１×Ｍ'!$B$50:$J$50,))&lt;&gt;"",INDEX('１×Ｍ'!$B$50:$J$70,MATCH($A$149,'１×Ｍ'!$B$50:$B$70,),MATCH($B227,'１×Ｍ'!$B$50:$J$50,)),"")</f>
        <v>#N/A</v>
      </c>
      <c r="C227" s="399"/>
      <c r="D227" s="400"/>
      <c r="E227" s="57"/>
      <c r="F227" s="58"/>
      <c r="H227" s="163"/>
      <c r="I227" s="57"/>
      <c r="J227" s="57"/>
      <c r="K227" s="57"/>
      <c r="L227" s="164"/>
      <c r="M227" s="57"/>
      <c r="N227" s="57"/>
    </row>
    <row r="228" spans="1:18" s="22" customFormat="1" ht="14.5" hidden="1" customHeight="1">
      <c r="B228" s="401" t="e">
        <f>IF(INDEX('１×Ｗ'!$B$2:$J$28,MATCH($A$228,'１×Ｗ'!$B$3:$B$28,),MATCH($B5,'１×Ｗ'!$B$2:$J$2,))&lt;&gt;"",INDEX('１×Ｗ'!$B$3:$J$28,MATCH($A$228,'１×Ｗ'!$B$3:$B$28,),MATCH($B5,'１×Ｗ'!$B$2:$J$2,)),"")</f>
        <v>#N/A</v>
      </c>
      <c r="C228" s="399" t="e">
        <f>IF(INDEX('１×Ｗ'!$B$2:$J$28,MATCH($A$228,'１×Ｗ'!$B$3:$B$28,),MATCH($C5,'１×Ｗ'!$B$2:$J$2,))&lt;&gt;"",INDEX('１×Ｗ'!$B$3:$J$28,MATCH($A$228,'１×Ｗ'!$B$3:$B$28,),MATCH($C5,'１×Ｗ'!$B$2:$J$2,)),"")</f>
        <v>#N/A</v>
      </c>
      <c r="D228" s="400"/>
      <c r="E228" s="57"/>
      <c r="F228" s="58"/>
      <c r="H228" s="163"/>
      <c r="I228" s="57"/>
      <c r="J228" s="57"/>
      <c r="K228" s="57"/>
      <c r="L228" s="164"/>
      <c r="M228" s="57"/>
      <c r="N228" s="57"/>
    </row>
    <row r="229" spans="1:18" s="22" customFormat="1" ht="14.5" hidden="1" customHeight="1">
      <c r="B229" s="401" t="e">
        <f ca="1">IF(INDEX('１×Ｍ'!$B$50:$J$70,MATCH($A$149,'１×Ｍ'!$B$50:$B$70,),MATCH($B229,'１×Ｍ'!$B$50:$J$50,))&lt;&gt;"",INDEX('１×Ｍ'!$B$50:$J$70,MATCH($A$149,'１×Ｍ'!$B$50:$B$70,),MATCH($B229,'１×Ｍ'!$B$50:$J$50,)),"")</f>
        <v>#N/A</v>
      </c>
      <c r="C229" s="399"/>
      <c r="D229" s="400"/>
      <c r="E229" s="57"/>
      <c r="F229" s="58"/>
      <c r="H229" s="163"/>
      <c r="J229" s="57"/>
      <c r="K229" s="57"/>
      <c r="L229" s="164"/>
      <c r="M229" s="57"/>
      <c r="N229" s="57"/>
    </row>
    <row r="230" spans="1:18" s="22" customFormat="1" ht="14.5" hidden="1" customHeight="1">
      <c r="B230" s="401" t="e">
        <f>IF(INDEX('１×Ｗ'!$B$2:$J$28,MATCH($A$230,'１×Ｗ'!$B$3:$B$28,),MATCH($B5,'１×Ｗ'!$B$2:$J$2,))&lt;&gt;"",INDEX('１×Ｗ'!$B$3:$J$28,MATCH($A$230,'１×Ｗ'!$B$3:$B$28,),MATCH($B5,'１×Ｗ'!$B$2:$J$2,)),"")</f>
        <v>#N/A</v>
      </c>
      <c r="C230" s="399" t="e">
        <f>IF(INDEX('１×Ｗ'!$B$2:$J$28,MATCH($A$230,'１×Ｗ'!$B$3:$B$28,),MATCH($C5,'１×Ｗ'!$B$2:$J$2,))&lt;&gt;"",INDEX('１×Ｗ'!$B$3:$J$28,MATCH($A$230,'１×Ｗ'!$B$3:$B$28,),MATCH($C5,'１×Ｗ'!$B$2:$J$2,)),"")</f>
        <v>#N/A</v>
      </c>
      <c r="D230" s="400"/>
      <c r="E230" s="57"/>
      <c r="F230" s="58"/>
      <c r="H230" s="163"/>
      <c r="J230" s="57"/>
      <c r="K230" s="57"/>
      <c r="L230" s="164"/>
      <c r="M230" s="57"/>
      <c r="N230" s="57"/>
    </row>
    <row r="231" spans="1:18" s="22" customFormat="1" ht="14.5" hidden="1" customHeight="1">
      <c r="B231" s="401" t="e">
        <f ca="1">IF(INDEX('１×Ｍ'!$B$50:$J$70,MATCH($A$149,'１×Ｍ'!$B$50:$B$70,),MATCH($B231,'１×Ｍ'!$B$50:$J$50,))&lt;&gt;"",INDEX('１×Ｍ'!$B$50:$J$70,MATCH($A$149,'１×Ｍ'!$B$50:$B$70,),MATCH($B231,'１×Ｍ'!$B$50:$J$50,)),"")</f>
        <v>#N/A</v>
      </c>
      <c r="C231" s="399"/>
      <c r="D231" s="400"/>
      <c r="E231" s="57"/>
      <c r="F231" s="58"/>
      <c r="H231" s="163"/>
      <c r="I231" s="57"/>
      <c r="J231" s="57"/>
      <c r="K231" s="57"/>
      <c r="L231" s="164"/>
      <c r="M231" s="57"/>
      <c r="N231" s="57"/>
    </row>
    <row r="232" spans="1:18" s="22" customFormat="1" ht="14.5" hidden="1" customHeight="1">
      <c r="B232" s="401" t="e">
        <f>IF(INDEX('１×Ｗ'!$B$2:$J$28,MATCH($A$232,'１×Ｗ'!$B$3:$B$28,),MATCH($B5,'１×Ｗ'!$B$2:$J$2,))&lt;&gt;"",INDEX('１×Ｗ'!$B$3:$J$28,MATCH($A$232,'１×Ｗ'!$B$3:$B$28,),MATCH($B5,'１×Ｗ'!$B$2:$J$2,)),"")</f>
        <v>#N/A</v>
      </c>
      <c r="C232" s="399" t="e">
        <f>IF(INDEX('１×Ｗ'!$B$2:$J$28,MATCH($A$232,'１×Ｗ'!$B$3:$B$28,),MATCH($C5,'１×Ｗ'!$B$2:$J$2,))&lt;&gt;"",INDEX('１×Ｗ'!$B$3:$J$28,MATCH($A$232,'１×Ｗ'!$B$3:$B$28,),MATCH($C5,'１×Ｗ'!$B$2:$J$2,)),"")</f>
        <v>#N/A</v>
      </c>
      <c r="D232" s="400"/>
      <c r="E232" s="57"/>
      <c r="F232" s="58"/>
      <c r="H232" s="163"/>
      <c r="I232" s="57"/>
      <c r="J232" s="57"/>
      <c r="K232" s="57"/>
      <c r="L232" s="164"/>
      <c r="M232" s="57"/>
      <c r="N232" s="57"/>
    </row>
    <row r="233" spans="1:18" s="22" customFormat="1" ht="14.5" hidden="1" customHeight="1">
      <c r="B233" s="401" t="e">
        <f ca="1">IF(INDEX('１×Ｍ'!$B$50:$J$70,MATCH($A$149,'１×Ｍ'!$B$50:$B$70,),MATCH($B233,'１×Ｍ'!$B$50:$J$50,))&lt;&gt;"",INDEX('１×Ｍ'!$B$50:$J$70,MATCH($A$149,'１×Ｍ'!$B$50:$B$70,),MATCH($B233,'１×Ｍ'!$B$50:$J$50,)),"")</f>
        <v>#N/A</v>
      </c>
      <c r="C233" s="399"/>
      <c r="D233" s="400"/>
      <c r="E233" s="57"/>
      <c r="F233" s="58"/>
      <c r="H233" s="163"/>
      <c r="I233" s="57"/>
      <c r="J233" s="57"/>
      <c r="K233" s="57"/>
      <c r="L233" s="164"/>
      <c r="M233" s="57"/>
      <c r="N233" s="57"/>
    </row>
    <row r="234" spans="1:18" s="22" customFormat="1" ht="14.5" hidden="1" customHeight="1">
      <c r="B234" s="401" t="e">
        <f>IF(INDEX('１×Ｗ'!$B$2:$J$28,MATCH($A$234,'１×Ｗ'!$B$3:$B$28,),MATCH($B5,'１×Ｗ'!$B$2:$J$2,))&lt;&gt;"",INDEX('１×Ｗ'!$B$3:$J$28,MATCH($A$234,'１×Ｗ'!$B$3:$B$28,),MATCH($B5,'１×Ｗ'!$B$2:$J$2,)),"")</f>
        <v>#N/A</v>
      </c>
      <c r="C234" s="399" t="e">
        <f>IF(INDEX('１×Ｗ'!$B$2:$J$28,MATCH($A$234,'１×Ｗ'!$B$3:$B$28,),MATCH($C5,'１×Ｗ'!$B$2:$J$2,))&lt;&gt;"",INDEX('１×Ｗ'!$B$3:$J$28,MATCH($A$234,'１×Ｗ'!$B$3:$B$28,),MATCH($C5,'１×Ｗ'!$B$2:$J$2,)),"")</f>
        <v>#N/A</v>
      </c>
      <c r="D234" s="400"/>
      <c r="E234" s="57"/>
      <c r="F234" s="58"/>
      <c r="H234" s="163"/>
      <c r="I234" s="57"/>
      <c r="J234" s="57"/>
      <c r="K234" s="57"/>
      <c r="L234" s="164"/>
      <c r="M234" s="57"/>
      <c r="N234" s="57"/>
    </row>
    <row r="235" spans="1:18" s="22" customFormat="1" ht="14.5" hidden="1" customHeight="1">
      <c r="B235" s="401" t="e">
        <f ca="1">IF(INDEX('１×Ｍ'!$B$50:$J$70,MATCH($A$149,'１×Ｍ'!$B$50:$B$70,),MATCH($B235,'１×Ｍ'!$B$50:$J$50,))&lt;&gt;"",INDEX('１×Ｍ'!$B$50:$J$70,MATCH($A$149,'１×Ｍ'!$B$50:$B$70,),MATCH($B235,'１×Ｍ'!$B$50:$J$50,)),"")</f>
        <v>#N/A</v>
      </c>
      <c r="C235" s="399"/>
      <c r="D235" s="400"/>
      <c r="E235" s="57"/>
      <c r="F235" s="58"/>
      <c r="H235" s="163"/>
      <c r="I235" s="57"/>
      <c r="J235" s="57"/>
      <c r="K235" s="57"/>
      <c r="L235" s="164"/>
      <c r="M235" s="57"/>
      <c r="N235" s="57"/>
    </row>
    <row r="236" spans="1:18" s="22" customFormat="1" ht="14.5" hidden="1" customHeight="1">
      <c r="A236" s="57"/>
      <c r="B236" s="18"/>
      <c r="C236" s="122"/>
      <c r="D236" s="64"/>
      <c r="E236" s="57"/>
      <c r="F236" s="58"/>
      <c r="H236" s="163"/>
      <c r="L236" s="163"/>
    </row>
    <row r="237" spans="1:18" s="22" customFormat="1" ht="14.5" hidden="1" customHeight="1">
      <c r="A237" s="57"/>
      <c r="B237" s="18"/>
      <c r="C237" s="122"/>
      <c r="D237" s="64"/>
      <c r="E237" s="57"/>
      <c r="F237" s="58"/>
      <c r="H237" s="163"/>
      <c r="L237" s="163"/>
    </row>
    <row r="238" spans="1:18" s="22" customFormat="1" ht="14.5" hidden="1" customHeight="1">
      <c r="A238" s="57"/>
      <c r="B238" s="18"/>
      <c r="C238" s="122"/>
      <c r="D238" s="64"/>
      <c r="E238" s="57"/>
      <c r="F238" s="58"/>
      <c r="H238" s="163"/>
      <c r="L238" s="163"/>
    </row>
    <row r="239" spans="1:18" s="22" customFormat="1" ht="14">
      <c r="A239" s="57"/>
      <c r="B239" s="49" t="s">
        <v>74</v>
      </c>
      <c r="C239" s="122"/>
      <c r="D239" s="64"/>
      <c r="E239" s="57"/>
      <c r="F239" s="58"/>
      <c r="H239" s="163"/>
      <c r="L239" s="163"/>
    </row>
    <row r="240" spans="1:18" s="22" customFormat="1" ht="14">
      <c r="B240" s="51" t="s">
        <v>3</v>
      </c>
      <c r="C240" s="50"/>
      <c r="F240" s="53"/>
      <c r="H240" s="163"/>
      <c r="M240" s="49"/>
      <c r="N240" s="49"/>
      <c r="O240" s="49"/>
      <c r="P240" s="49"/>
      <c r="R240" s="49"/>
    </row>
    <row r="241" spans="1:19" s="22" customFormat="1" ht="14">
      <c r="B241" s="51" t="s">
        <v>75</v>
      </c>
      <c r="C241" s="50"/>
      <c r="D241" s="52"/>
      <c r="F241" s="53"/>
    </row>
    <row r="242" spans="1:19" s="22" customFormat="1" ht="14">
      <c r="C242" s="52"/>
      <c r="D242" s="52"/>
      <c r="E242" s="22" t="s">
        <v>57</v>
      </c>
      <c r="F242" s="175"/>
      <c r="I242" s="22" t="s">
        <v>126</v>
      </c>
      <c r="L242" s="57"/>
      <c r="M242" s="57"/>
      <c r="N242" s="57"/>
      <c r="Q242" s="22" t="s">
        <v>53</v>
      </c>
    </row>
    <row r="243" spans="1:19" s="22" customFormat="1" ht="14">
      <c r="B243" s="22" t="s">
        <v>72</v>
      </c>
      <c r="C243" s="52"/>
      <c r="D243" s="52" t="s">
        <v>2</v>
      </c>
      <c r="E243" s="79">
        <v>44660</v>
      </c>
      <c r="F243" s="52">
        <v>3</v>
      </c>
      <c r="H243" s="52" t="s">
        <v>2</v>
      </c>
      <c r="I243" s="79">
        <v>44661</v>
      </c>
      <c r="J243" s="52">
        <v>34</v>
      </c>
      <c r="L243" s="105"/>
      <c r="M243" s="80"/>
      <c r="N243" s="105"/>
      <c r="P243" s="52" t="s">
        <v>2</v>
      </c>
      <c r="Q243" s="79">
        <v>44661</v>
      </c>
      <c r="R243" s="52">
        <v>39</v>
      </c>
      <c r="S243" s="53"/>
    </row>
    <row r="244" spans="1:19" s="22" customFormat="1" ht="14">
      <c r="C244" s="52"/>
      <c r="D244" s="52"/>
      <c r="E244" s="22" t="s">
        <v>84</v>
      </c>
      <c r="F244" s="174">
        <f>VLOOKUP(F243,競漕日程!$A$4:$D$41,2)</f>
        <v>0.49027777777777798</v>
      </c>
      <c r="I244" s="22" t="s">
        <v>84</v>
      </c>
      <c r="J244" s="174">
        <f>VLOOKUP(J243,競漕日程!$A$4:$D$41,2)</f>
        <v>0.40833333333333299</v>
      </c>
      <c r="K244" s="175"/>
      <c r="L244" s="57"/>
      <c r="M244" s="57"/>
      <c r="N244" s="69"/>
      <c r="O244" s="180"/>
      <c r="Q244" s="180"/>
      <c r="R244" s="174">
        <f>VLOOKUP(R243,競漕日程!$A$4:$D$50,2)</f>
        <v>0.52083333333333304</v>
      </c>
    </row>
    <row r="245" spans="1:19" s="22" customFormat="1" ht="14">
      <c r="A245" s="22">
        <v>4</v>
      </c>
      <c r="B245" s="401" t="str">
        <f>IF(A245="","",IF(INDEX('2×M'!$B$2:$D$93,MATCH($A245,'2×M'!$B$2:$B$93,),MATCH($B$243,'2×M'!$B$2:$D$2,))&lt;&gt;"",INDEX('2×M'!$B$2:$D$93,MATCH($A245,'2×M'!$B$2:$B$93,),MATCH($B$243,'2×M'!$B$2:$D$2,)),""))</f>
        <v>沼津東高校C</v>
      </c>
      <c r="C245" s="354"/>
      <c r="D245" s="399">
        <v>1</v>
      </c>
      <c r="E245" s="57"/>
      <c r="F245" s="57"/>
      <c r="H245" s="399"/>
      <c r="I245" s="57"/>
      <c r="J245" s="57"/>
      <c r="L245" s="400"/>
      <c r="M245" s="57"/>
      <c r="N245" s="58"/>
      <c r="P245" s="173">
        <v>1</v>
      </c>
      <c r="R245" s="175"/>
    </row>
    <row r="246" spans="1:19" s="22" customFormat="1" ht="14">
      <c r="B246" s="401" t="e">
        <f ca="1">IF(INDEX('１×Ｍ'!$B$50:$J$70,MATCH($A$149,'１×Ｍ'!$B$50:$B$70,),MATCH($B246,'１×Ｍ'!$B$50:$J$50,))&lt;&gt;"",INDEX('１×Ｍ'!$B$50:$J$70,MATCH($A$149,'１×Ｍ'!$B$50:$B$70,),MATCH($B246,'１×Ｍ'!$B$50:$J$50,)),"")</f>
        <v>#N/A</v>
      </c>
      <c r="C246" s="354"/>
      <c r="D246" s="399"/>
      <c r="E246" s="198"/>
      <c r="F246" s="57"/>
      <c r="H246" s="399"/>
      <c r="I246" s="57"/>
      <c r="J246" s="58"/>
      <c r="L246" s="400"/>
      <c r="M246" s="57"/>
      <c r="N246" s="58"/>
      <c r="P246" s="173"/>
      <c r="Q246" s="59" t="s">
        <v>138</v>
      </c>
      <c r="R246" s="60"/>
    </row>
    <row r="247" spans="1:19" s="22" customFormat="1" ht="14">
      <c r="A247" s="22">
        <v>10</v>
      </c>
      <c r="B247" s="401" t="str">
        <f>IF(A247="","",IF(INDEX('2×M'!$B$2:$D$93,MATCH($A247,'2×M'!$B$2:$B$93,),MATCH($B$243,'2×M'!$B$2:$D$2,))&lt;&gt;"",INDEX('2×M'!$B$2:$D$93,MATCH($A247,'2×M'!$B$2:$B$93,),MATCH($B$243,'2×M'!$B$2:$D$2,)),""))</f>
        <v>浜松北高校A</v>
      </c>
      <c r="C247" s="353"/>
      <c r="D247" s="399">
        <v>2</v>
      </c>
      <c r="E247" s="65"/>
      <c r="F247" s="63"/>
      <c r="H247" s="399">
        <v>2</v>
      </c>
      <c r="I247" s="357"/>
      <c r="J247" s="58"/>
      <c r="L247" s="400"/>
      <c r="M247" s="57"/>
      <c r="N247" s="58"/>
      <c r="P247" s="173">
        <v>2</v>
      </c>
      <c r="Q247" s="62"/>
      <c r="R247" s="60"/>
    </row>
    <row r="248" spans="1:19" s="22" customFormat="1" ht="14">
      <c r="B248" s="401" t="e">
        <f ca="1">IF(INDEX('１×Ｍ'!$B$50:$J$70,MATCH($A$149,'１×Ｍ'!$B$50:$B$70,),MATCH($B248,'１×Ｍ'!$B$50:$J$50,))&lt;&gt;"",INDEX('１×Ｍ'!$B$50:$J$70,MATCH($A$149,'１×Ｍ'!$B$50:$B$70,),MATCH($B248,'１×Ｍ'!$B$50:$J$50,)),"")</f>
        <v>#N/A</v>
      </c>
      <c r="C248" s="353"/>
      <c r="D248" s="399"/>
      <c r="E248" s="62"/>
      <c r="F248" s="63"/>
      <c r="H248" s="399"/>
      <c r="I248" s="57" t="s">
        <v>831</v>
      </c>
      <c r="J248" s="63"/>
      <c r="L248" s="400"/>
      <c r="M248" s="57"/>
      <c r="N248" s="58"/>
      <c r="P248" s="173"/>
      <c r="Q248" s="61" t="s">
        <v>136</v>
      </c>
      <c r="R248" s="60"/>
    </row>
    <row r="249" spans="1:19" s="22" customFormat="1" ht="14">
      <c r="A249" s="22">
        <v>1</v>
      </c>
      <c r="B249" s="401" t="str">
        <f>IF(A249="","",IF(INDEX('2×M'!$B$2:$D$93,MATCH($A249,'2×M'!$B$2:$B$93,),MATCH($B$243,'2×M'!$B$2:$D$2,))&lt;&gt;"",INDEX('2×M'!$B$2:$D$93,MATCH($A249,'2×M'!$B$2:$B$93,),MATCH($B$243,'2×M'!$B$2:$D$2,)),""))</f>
        <v>沼津工業高校</v>
      </c>
      <c r="C249" s="353"/>
      <c r="D249" s="399">
        <v>3</v>
      </c>
      <c r="E249" s="57"/>
      <c r="F249" s="63"/>
      <c r="H249" s="399">
        <v>3</v>
      </c>
      <c r="I249" s="57"/>
      <c r="J249" s="63"/>
      <c r="L249" s="400"/>
      <c r="M249" s="57"/>
      <c r="N249" s="58"/>
      <c r="P249" s="173">
        <v>3</v>
      </c>
      <c r="Q249" s="62"/>
      <c r="R249" s="63"/>
    </row>
    <row r="250" spans="1:19" s="22" customFormat="1" ht="14">
      <c r="B250" s="401" t="e">
        <f ca="1">IF(INDEX('１×Ｍ'!$B$50:$J$70,MATCH($A$149,'１×Ｍ'!$B$50:$B$70,),MATCH($B250,'１×Ｍ'!$B$50:$J$50,))&lt;&gt;"",INDEX('１×Ｍ'!$B$50:$J$70,MATCH($A$149,'１×Ｍ'!$B$50:$B$70,),MATCH($B250,'１×Ｍ'!$B$50:$J$50,)),"")</f>
        <v>#N/A</v>
      </c>
      <c r="C250" s="353"/>
      <c r="D250" s="399"/>
      <c r="E250" s="343"/>
      <c r="F250" s="344"/>
      <c r="H250" s="399"/>
      <c r="I250" s="343" t="s">
        <v>825</v>
      </c>
      <c r="J250" s="345"/>
      <c r="L250" s="400"/>
      <c r="M250" s="57"/>
      <c r="N250" s="58"/>
      <c r="P250" s="173"/>
      <c r="Q250" s="61" t="s">
        <v>134</v>
      </c>
      <c r="R250" s="82"/>
    </row>
    <row r="251" spans="1:19" s="22" customFormat="1" ht="14">
      <c r="A251" s="22">
        <v>6</v>
      </c>
      <c r="B251" s="401" t="str">
        <f>IF(A251="","",IF(INDEX('2×M'!$B$2:$D$93,MATCH($A251,'2×M'!$B$2:$B$93,),MATCH($B$243,'2×M'!$B$2:$D$2,))&lt;&gt;"",INDEX('2×M'!$B$2:$D$93,MATCH($A251,'2×M'!$B$2:$B$93,),MATCH($B$243,'2×M'!$B$2:$D$2,)),""))</f>
        <v>浜松湖南高校A</v>
      </c>
      <c r="C251" s="353"/>
      <c r="D251" s="399">
        <v>4</v>
      </c>
      <c r="E251" s="357"/>
      <c r="F251" s="345"/>
      <c r="H251" s="399">
        <v>4</v>
      </c>
      <c r="I251" s="65"/>
      <c r="J251" s="63"/>
      <c r="L251" s="400"/>
      <c r="M251" s="57"/>
      <c r="N251" s="58"/>
      <c r="P251" s="173">
        <v>4</v>
      </c>
      <c r="Q251" s="62"/>
      <c r="R251" s="63"/>
    </row>
    <row r="252" spans="1:19" s="22" customFormat="1" ht="14">
      <c r="B252" s="401" t="e">
        <f ca="1">IF(INDEX('１×Ｍ'!$B$50:$J$70,MATCH($A$149,'１×Ｍ'!$B$50:$B$70,),MATCH($B252,'１×Ｍ'!$B$50:$J$50,))&lt;&gt;"",INDEX('１×Ｍ'!$B$50:$J$70,MATCH($A$149,'１×Ｍ'!$B$50:$B$70,),MATCH($B252,'１×Ｍ'!$B$50:$J$50,)),"")</f>
        <v>#N/A</v>
      </c>
      <c r="C252" s="353"/>
      <c r="D252" s="399"/>
      <c r="E252" s="343"/>
      <c r="F252" s="63"/>
      <c r="H252" s="399"/>
      <c r="I252" s="61" t="s">
        <v>829</v>
      </c>
      <c r="J252" s="57"/>
      <c r="L252" s="400"/>
      <c r="M252" s="57"/>
      <c r="N252" s="58"/>
      <c r="P252" s="173"/>
      <c r="Q252" s="61" t="s">
        <v>135</v>
      </c>
    </row>
    <row r="253" spans="1:19" s="22" customFormat="1" ht="14">
      <c r="A253" s="22">
        <v>11</v>
      </c>
      <c r="B253" s="401" t="str">
        <f>IF(A253="","",IF(INDEX('2×M'!$B$2:$D$93,MATCH($A253,'2×M'!$B$2:$B$93,),MATCH($B$243,'2×M'!$B$2:$D$2,))&lt;&gt;"",INDEX('2×M'!$B$2:$D$93,MATCH($A253,'2×M'!$B$2:$B$93,),MATCH($B$243,'2×M'!$B$2:$D$2,)),""))</f>
        <v>浜松北高校B</v>
      </c>
      <c r="C253" s="353"/>
      <c r="D253" s="399">
        <v>5</v>
      </c>
      <c r="E253" s="65"/>
      <c r="F253" s="63"/>
      <c r="H253" s="399">
        <v>5</v>
      </c>
      <c r="I253" s="65"/>
      <c r="J253" s="57"/>
      <c r="L253" s="400"/>
      <c r="M253" s="57"/>
      <c r="N253" s="58"/>
      <c r="P253" s="173">
        <v>5</v>
      </c>
      <c r="Q253" s="62"/>
    </row>
    <row r="254" spans="1:19" s="22" customFormat="1" ht="14">
      <c r="B254" s="401" t="e">
        <f ca="1">IF(INDEX('１×Ｍ'!$B$50:$J$70,MATCH($A$149,'１×Ｍ'!$B$50:$B$70,),MATCH($B254,'１×Ｍ'!$B$50:$J$50,))&lt;&gt;"",INDEX('１×Ｍ'!$B$50:$J$70,MATCH($A$149,'１×Ｍ'!$B$50:$B$70,),MATCH($B254,'１×Ｍ'!$B$50:$J$50,)),"")</f>
        <v>#N/A</v>
      </c>
      <c r="C254" s="353"/>
      <c r="D254" s="399"/>
      <c r="E254" s="342"/>
      <c r="F254" s="57"/>
      <c r="H254" s="399"/>
      <c r="I254" s="59" t="s">
        <v>834</v>
      </c>
      <c r="J254" s="57"/>
      <c r="L254" s="400"/>
      <c r="M254" s="57"/>
      <c r="N254" s="58"/>
      <c r="P254" s="173"/>
      <c r="Q254" s="61" t="s">
        <v>137</v>
      </c>
    </row>
    <row r="255" spans="1:19" s="22" customFormat="1" ht="14">
      <c r="A255" s="22">
        <v>9</v>
      </c>
      <c r="B255" s="401" t="str">
        <f>IF(A255="","",IF(INDEX('2×M'!$B$2:$D$93,MATCH($A255,'2×M'!$B$2:$B$93,),MATCH($B$243,'2×M'!$B$2:$D$2,))&lt;&gt;"",INDEX('2×M'!$B$2:$D$93,MATCH($A255,'2×M'!$B$2:$B$93,),MATCH($B$243,'2×M'!$B$2:$D$2,)),""))</f>
        <v>浜松湖南高校D</v>
      </c>
      <c r="C255" s="353"/>
      <c r="D255" s="399">
        <v>6</v>
      </c>
      <c r="E255" s="65"/>
      <c r="H255" s="399"/>
      <c r="I255" s="57"/>
      <c r="L255" s="400"/>
      <c r="M255" s="57"/>
      <c r="N255" s="57"/>
      <c r="P255" s="173">
        <v>6</v>
      </c>
      <c r="Q255" s="65"/>
    </row>
    <row r="256" spans="1:19" s="22" customFormat="1" ht="14">
      <c r="B256" s="401" t="e">
        <f ca="1">IF(INDEX('１×Ｍ'!$B$50:$J$70,MATCH($A$149,'１×Ｍ'!$B$50:$B$70,),MATCH($B256,'１×Ｍ'!$B$50:$J$50,))&lt;&gt;"",INDEX('１×Ｍ'!$B$50:$J$70,MATCH($A$149,'１×Ｍ'!$B$50:$B$70,),MATCH($B256,'１×Ｍ'!$B$50:$J$50,)),"")</f>
        <v>#N/A</v>
      </c>
      <c r="C256" s="353"/>
      <c r="D256" s="399"/>
      <c r="H256" s="399"/>
      <c r="L256" s="400"/>
      <c r="M256" s="57"/>
      <c r="N256" s="57"/>
      <c r="P256" s="173"/>
      <c r="Q256" s="22" t="s">
        <v>139</v>
      </c>
    </row>
    <row r="257" spans="1:18" s="22" customFormat="1" ht="14">
      <c r="B257" s="355"/>
      <c r="C257" s="353"/>
      <c r="D257" s="52"/>
      <c r="F257" s="66">
        <f>F243+1</f>
        <v>4</v>
      </c>
      <c r="H257" s="176"/>
      <c r="J257" s="66">
        <f>J243+1</f>
        <v>35</v>
      </c>
      <c r="K257" s="180"/>
      <c r="L257" s="57"/>
      <c r="M257" s="57"/>
      <c r="N257" s="105"/>
      <c r="P257" s="57"/>
      <c r="Q257" s="57"/>
      <c r="R257" s="105"/>
    </row>
    <row r="258" spans="1:18" s="22" customFormat="1" ht="14">
      <c r="C258" s="52"/>
      <c r="D258" s="52"/>
      <c r="E258" s="22" t="s">
        <v>85</v>
      </c>
      <c r="F258" s="174">
        <f>VLOOKUP(F257,競漕日程!$A$4:$D$41,2)</f>
        <v>0.49583333333333302</v>
      </c>
      <c r="H258" s="180"/>
      <c r="I258" s="22" t="s">
        <v>85</v>
      </c>
      <c r="J258" s="174">
        <f>VLOOKUP(J257,競漕日程!$A$4:$D$50,2)</f>
        <v>0.41388888888888897</v>
      </c>
      <c r="K258" s="175"/>
      <c r="L258" s="57"/>
      <c r="M258" s="57"/>
      <c r="N258" s="105"/>
      <c r="O258" s="175"/>
      <c r="P258" s="57"/>
      <c r="Q258" s="55"/>
      <c r="R258" s="69"/>
    </row>
    <row r="259" spans="1:18" s="22" customFormat="1" ht="14">
      <c r="A259" s="22">
        <v>12</v>
      </c>
      <c r="B259" s="401" t="str">
        <f>IF(A259="","",IF(INDEX('2×M'!$B$2:$D$93,MATCH($A259,'2×M'!$B$2:$B$93,),MATCH($B$243,'2×M'!$B$2:$D$2,))&lt;&gt;"",INDEX('2×M'!$B$2:$D$93,MATCH($A259,'2×M'!$B$2:$B$93,),MATCH($B$243,'2×M'!$B$2:$D$2,)),""))</f>
        <v>浜松北高校C</v>
      </c>
      <c r="C259" s="354"/>
      <c r="D259" s="399">
        <v>1</v>
      </c>
      <c r="E259" s="57"/>
      <c r="F259" s="57"/>
      <c r="H259" s="399"/>
      <c r="I259" s="57"/>
      <c r="J259" s="57"/>
      <c r="L259" s="57"/>
      <c r="M259" s="57"/>
      <c r="N259" s="69"/>
      <c r="P259" s="177"/>
      <c r="Q259" s="57"/>
      <c r="R259" s="58"/>
    </row>
    <row r="260" spans="1:18" s="22" customFormat="1" ht="14">
      <c r="B260" s="401" t="e">
        <f ca="1">IF(INDEX('１×Ｍ'!$B$50:$J$70,MATCH($A$149,'１×Ｍ'!$B$50:$B$70,),MATCH($B260,'１×Ｍ'!$B$50:$J$50,))&lt;&gt;"",INDEX('１×Ｍ'!$B$50:$J$70,MATCH($A$149,'１×Ｍ'!$B$50:$B$70,),MATCH($B260,'１×Ｍ'!$B$50:$J$50,)),"")</f>
        <v>#N/A</v>
      </c>
      <c r="C260" s="354"/>
      <c r="D260" s="399"/>
      <c r="E260" s="198"/>
      <c r="F260" s="57"/>
      <c r="H260" s="399"/>
      <c r="I260" s="57"/>
      <c r="J260" s="58"/>
      <c r="L260" s="400"/>
      <c r="M260" s="57"/>
      <c r="N260" s="58"/>
      <c r="P260" s="177"/>
      <c r="Q260" s="57"/>
      <c r="R260" s="58"/>
    </row>
    <row r="261" spans="1:18" s="22" customFormat="1" ht="14">
      <c r="A261" s="22">
        <v>7</v>
      </c>
      <c r="B261" s="401" t="str">
        <f>IF(A261="","",IF(INDEX('2×M'!$B$2:$D$93,MATCH($A261,'2×M'!$B$2:$B$93,),MATCH($B$243,'2×M'!$B$2:$D$2,))&lt;&gt;"",INDEX('2×M'!$B$2:$D$93,MATCH($A261,'2×M'!$B$2:$B$93,),MATCH($B$243,'2×M'!$B$2:$D$2,)),""))</f>
        <v>浜松湖南高校B</v>
      </c>
      <c r="C261" s="353"/>
      <c r="D261" s="399">
        <v>2</v>
      </c>
      <c r="E261" s="65"/>
      <c r="F261" s="63"/>
      <c r="H261" s="399">
        <v>2</v>
      </c>
      <c r="I261" s="357"/>
      <c r="J261" s="58"/>
      <c r="L261" s="400"/>
      <c r="M261" s="57"/>
      <c r="N261" s="58"/>
      <c r="P261" s="177"/>
      <c r="Q261" s="57"/>
      <c r="R261" s="58"/>
    </row>
    <row r="262" spans="1:18" s="22" customFormat="1" ht="14">
      <c r="B262" s="401" t="e">
        <f ca="1">IF(INDEX('１×Ｍ'!$B$50:$J$70,MATCH($A$149,'１×Ｍ'!$B$50:$B$70,),MATCH($B262,'１×Ｍ'!$B$50:$J$50,))&lt;&gt;"",INDEX('１×Ｍ'!$B$50:$J$70,MATCH($A$149,'１×Ｍ'!$B$50:$B$70,),MATCH($B262,'１×Ｍ'!$B$50:$J$50,)),"")</f>
        <v>#N/A</v>
      </c>
      <c r="C262" s="353"/>
      <c r="D262" s="399"/>
      <c r="E262" s="62"/>
      <c r="F262" s="63"/>
      <c r="H262" s="399"/>
      <c r="I262" s="57" t="s">
        <v>832</v>
      </c>
      <c r="J262" s="63"/>
      <c r="L262" s="400"/>
      <c r="M262" s="57"/>
      <c r="N262" s="58"/>
      <c r="P262" s="177"/>
      <c r="Q262" s="57"/>
      <c r="R262" s="58"/>
    </row>
    <row r="263" spans="1:18" s="22" customFormat="1" ht="14">
      <c r="A263" s="22">
        <v>2</v>
      </c>
      <c r="B263" s="401" t="str">
        <f>IF(A263="","",IF(INDEX('2×M'!$B$2:$D$93,MATCH($A263,'2×M'!$B$2:$B$93,),MATCH($B$243,'2×M'!$B$2:$D$2,))&lt;&gt;"",INDEX('2×M'!$B$2:$D$93,MATCH($A263,'2×M'!$B$2:$B$93,),MATCH($B$243,'2×M'!$B$2:$D$2,)),""))</f>
        <v>沼津東高校A</v>
      </c>
      <c r="C263" s="353"/>
      <c r="D263" s="399">
        <v>3</v>
      </c>
      <c r="E263" s="57"/>
      <c r="F263" s="63"/>
      <c r="H263" s="399">
        <v>3</v>
      </c>
      <c r="I263" s="57"/>
      <c r="J263" s="63"/>
      <c r="L263" s="400"/>
      <c r="M263" s="57"/>
      <c r="N263" s="58"/>
      <c r="P263" s="177"/>
      <c r="Q263" s="57"/>
      <c r="R263" s="57"/>
    </row>
    <row r="264" spans="1:18" s="22" customFormat="1" ht="14">
      <c r="B264" s="401" t="e">
        <f ca="1">IF(INDEX('１×Ｍ'!$B$50:$J$70,MATCH($A$149,'１×Ｍ'!$B$50:$B$70,),MATCH($B264,'１×Ｍ'!$B$50:$J$50,))&lt;&gt;"",INDEX('１×Ｍ'!$B$50:$J$70,MATCH($A$149,'１×Ｍ'!$B$50:$B$70,),MATCH($B264,'１×Ｍ'!$B$50:$J$50,)),"")</f>
        <v>#N/A</v>
      </c>
      <c r="C264" s="353"/>
      <c r="D264" s="399"/>
      <c r="E264" s="343"/>
      <c r="F264" s="344"/>
      <c r="H264" s="399"/>
      <c r="I264" s="343" t="s">
        <v>826</v>
      </c>
      <c r="J264" s="345"/>
      <c r="L264" s="400"/>
      <c r="M264" s="57"/>
      <c r="N264" s="58"/>
      <c r="P264" s="177"/>
      <c r="Q264" s="57"/>
      <c r="R264" s="57"/>
    </row>
    <row r="265" spans="1:18" s="22" customFormat="1" ht="14">
      <c r="A265" s="22">
        <v>5</v>
      </c>
      <c r="B265" s="401" t="str">
        <f>IF(A265="","",IF(INDEX('2×M'!$B$2:$D$93,MATCH($A265,'2×M'!$B$2:$B$93,),MATCH($B$243,'2×M'!$B$2:$D$2,))&lt;&gt;"",INDEX('2×M'!$B$2:$D$93,MATCH($A265,'2×M'!$B$2:$B$93,),MATCH($B$243,'2×M'!$B$2:$D$2,)),""))</f>
        <v>浜松大平台高校</v>
      </c>
      <c r="C265" s="353"/>
      <c r="D265" s="399">
        <v>4</v>
      </c>
      <c r="E265" s="357"/>
      <c r="F265" s="345"/>
      <c r="H265" s="399">
        <v>4</v>
      </c>
      <c r="I265" s="65"/>
      <c r="J265" s="63"/>
      <c r="L265" s="400"/>
      <c r="M265" s="57"/>
      <c r="N265" s="58"/>
      <c r="P265" s="177"/>
      <c r="Q265" s="57"/>
      <c r="R265" s="57"/>
    </row>
    <row r="266" spans="1:18" s="22" customFormat="1" ht="14">
      <c r="B266" s="401" t="e">
        <f ca="1">IF(INDEX('１×Ｍ'!$B$50:$J$70,MATCH($A$149,'１×Ｍ'!$B$50:$B$70,),MATCH($B266,'１×Ｍ'!$B$50:$J$50,))&lt;&gt;"",INDEX('１×Ｍ'!$B$50:$J$70,MATCH($A$149,'１×Ｍ'!$B$50:$B$70,),MATCH($B266,'１×Ｍ'!$B$50:$J$50,)),"")</f>
        <v>#N/A</v>
      </c>
      <c r="C266" s="353"/>
      <c r="D266" s="399"/>
      <c r="E266" s="343"/>
      <c r="F266" s="63"/>
      <c r="H266" s="399"/>
      <c r="I266" s="61" t="s">
        <v>828</v>
      </c>
      <c r="J266" s="57"/>
      <c r="L266" s="400"/>
      <c r="M266" s="57"/>
      <c r="N266" s="58"/>
      <c r="P266" s="177"/>
      <c r="Q266" s="57"/>
      <c r="R266" s="57"/>
    </row>
    <row r="267" spans="1:18" s="22" customFormat="1" ht="14">
      <c r="A267" s="22">
        <v>3</v>
      </c>
      <c r="B267" s="401" t="str">
        <f>IF(A267="","",IF(INDEX('2×M'!$B$2:$D$93,MATCH($A267,'2×M'!$B$2:$B$93,),MATCH($B$243,'2×M'!$B$2:$D$2,))&lt;&gt;"",INDEX('2×M'!$B$2:$D$93,MATCH($A267,'2×M'!$B$2:$B$93,),MATCH($B$243,'2×M'!$B$2:$D$2,)),""))</f>
        <v>沼津東高校B</v>
      </c>
      <c r="C267" s="353"/>
      <c r="D267" s="399">
        <v>5</v>
      </c>
      <c r="E267" s="65"/>
      <c r="F267" s="63"/>
      <c r="H267" s="399">
        <v>5</v>
      </c>
      <c r="I267" s="65"/>
      <c r="J267" s="57"/>
      <c r="L267" s="400"/>
      <c r="M267" s="57"/>
      <c r="N267" s="58"/>
      <c r="P267" s="177"/>
      <c r="Q267" s="57"/>
      <c r="R267" s="57"/>
    </row>
    <row r="268" spans="1:18" s="22" customFormat="1" ht="14">
      <c r="B268" s="401" t="e">
        <f ca="1">IF(INDEX('１×Ｍ'!$B$50:$J$70,MATCH($A$149,'１×Ｍ'!$B$50:$B$70,),MATCH($B268,'１×Ｍ'!$B$50:$J$50,))&lt;&gt;"",INDEX('１×Ｍ'!$B$50:$J$70,MATCH($A$149,'１×Ｍ'!$B$50:$B$70,),MATCH($B268,'１×Ｍ'!$B$50:$J$50,)),"")</f>
        <v>#N/A</v>
      </c>
      <c r="C268" s="353"/>
      <c r="D268" s="399"/>
      <c r="E268" s="342"/>
      <c r="F268" s="57"/>
      <c r="H268" s="399"/>
      <c r="I268" s="59" t="s">
        <v>833</v>
      </c>
      <c r="J268" s="57"/>
      <c r="L268" s="400"/>
      <c r="M268" s="57"/>
      <c r="N268" s="58"/>
      <c r="P268" s="177"/>
      <c r="Q268" s="57"/>
      <c r="R268" s="57"/>
    </row>
    <row r="269" spans="1:18" s="22" customFormat="1" ht="14">
      <c r="A269" s="22">
        <v>8</v>
      </c>
      <c r="B269" s="401" t="str">
        <f>IF(A269="","",IF(INDEX('2×M'!$B$2:$D$93,MATCH($A269,'2×M'!$B$2:$B$93,),MATCH($B$243,'2×M'!$B$2:$D$2,))&lt;&gt;"",INDEX('2×M'!$B$2:$D$93,MATCH($A269,'2×M'!$B$2:$B$93,),MATCH($B$243,'2×M'!$B$2:$D$2,)),""))</f>
        <v>浜松湖南高校C</v>
      </c>
      <c r="C269" s="353"/>
      <c r="D269" s="399">
        <v>6</v>
      </c>
      <c r="E269" s="65"/>
      <c r="H269" s="399"/>
      <c r="I269" s="57"/>
      <c r="L269" s="400"/>
      <c r="M269" s="57"/>
      <c r="N269" s="58"/>
      <c r="P269" s="177"/>
      <c r="Q269" s="57"/>
      <c r="R269" s="57"/>
    </row>
    <row r="270" spans="1:18" s="22" customFormat="1" ht="14">
      <c r="B270" s="401" t="e">
        <f ca="1">IF(INDEX('１×Ｍ'!$B$50:$J$70,MATCH($A$149,'１×Ｍ'!$B$50:$B$70,),MATCH($B270,'１×Ｍ'!$B$50:$J$50,))&lt;&gt;"",INDEX('１×Ｍ'!$B$50:$J$70,MATCH($A$149,'１×Ｍ'!$B$50:$B$70,),MATCH($B270,'１×Ｍ'!$B$50:$J$50,)),"")</f>
        <v>#N/A</v>
      </c>
      <c r="C270" s="353"/>
      <c r="D270" s="399"/>
      <c r="H270" s="399"/>
      <c r="L270" s="400"/>
      <c r="M270" s="57"/>
      <c r="N270" s="57"/>
      <c r="P270" s="177"/>
      <c r="Q270" s="57"/>
      <c r="R270" s="57"/>
    </row>
    <row r="271" spans="1:18" s="22" customFormat="1" ht="14.25" hidden="1" customHeight="1">
      <c r="B271" s="16"/>
      <c r="C271" s="120"/>
      <c r="D271" s="52"/>
      <c r="F271" s="66">
        <f>F257+1</f>
        <v>5</v>
      </c>
      <c r="H271" s="173"/>
      <c r="L271" s="400"/>
      <c r="M271" s="57"/>
      <c r="N271" s="57"/>
    </row>
    <row r="272" spans="1:18" s="22" customFormat="1" ht="14.25" hidden="1" customHeight="1">
      <c r="C272" s="52"/>
      <c r="D272" s="52"/>
      <c r="E272" s="22" t="s">
        <v>88</v>
      </c>
      <c r="F272" s="174">
        <f>VLOOKUP(F271,競漕日程!$A$4:$D$41,2)</f>
        <v>0.50138888888888899</v>
      </c>
      <c r="H272" s="173"/>
    </row>
    <row r="273" spans="1:16" s="22" customFormat="1" ht="14.25" hidden="1" customHeight="1">
      <c r="B273" s="401" t="str">
        <f>IF(A273="","",IF(INDEX('2×M'!$B$2:$D$93,MATCH($A273,'2×M'!$B$2:$B$93,),MATCH($B$243,'2×M'!$B$2:$D$2,))&lt;&gt;"",INDEX('2×M'!$B$2:$D$93,MATCH($A273,'2×M'!$B$2:$B$93,),MATCH($B$243,'2×M'!$B$2:$D$2,)),""))</f>
        <v/>
      </c>
      <c r="C273" s="173"/>
      <c r="D273" s="399" t="s">
        <v>835</v>
      </c>
      <c r="E273" s="57"/>
      <c r="F273" s="175"/>
      <c r="H273" s="173"/>
    </row>
    <row r="274" spans="1:16" s="22" customFormat="1" ht="14.25" hidden="1" customHeight="1">
      <c r="B274" s="401" t="e">
        <f ca="1">IF(INDEX('１×Ｍ'!$B$50:$J$70,MATCH($A$149,'１×Ｍ'!$B$50:$B$70,),MATCH($B274,'１×Ｍ'!$B$50:$J$50,))&lt;&gt;"",INDEX('１×Ｍ'!$B$50:$J$70,MATCH($A$149,'１×Ｍ'!$B$50:$B$70,),MATCH($B274,'１×Ｍ'!$B$50:$J$50,)),"")</f>
        <v>#N/A</v>
      </c>
      <c r="C274" s="173"/>
      <c r="D274" s="399"/>
      <c r="E274" s="57"/>
      <c r="F274" s="58"/>
      <c r="H274" s="173"/>
    </row>
    <row r="275" spans="1:16" s="22" customFormat="1" ht="14.25" hidden="1" customHeight="1">
      <c r="A275" s="22">
        <v>11</v>
      </c>
      <c r="B275" s="401" t="str">
        <f>IF(A275="","",IF(INDEX('2×M'!$B$2:$D$93,MATCH($A275,'2×M'!$B$2:$B$93,),MATCH($B$243,'2×M'!$B$2:$D$2,))&lt;&gt;"",INDEX('2×M'!$B$2:$D$93,MATCH($A275,'2×M'!$B$2:$B$93,),MATCH($B$243,'2×M'!$B$2:$D$2,)),""))</f>
        <v>浜松北高校B</v>
      </c>
      <c r="C275" s="173"/>
      <c r="D275" s="399">
        <v>2</v>
      </c>
      <c r="E275" s="357"/>
      <c r="F275" s="58"/>
      <c r="H275" s="173"/>
    </row>
    <row r="276" spans="1:16" s="22" customFormat="1" ht="14.25" hidden="1" customHeight="1">
      <c r="B276" s="401" t="e">
        <f ca="1">IF(INDEX('１×Ｍ'!$B$50:$J$70,MATCH($A$149,'１×Ｍ'!$B$50:$B$70,),MATCH($B276,'１×Ｍ'!$B$50:$J$50,))&lt;&gt;"",INDEX('１×Ｍ'!$B$50:$J$70,MATCH($A$149,'１×Ｍ'!$B$50:$B$70,),MATCH($B276,'１×Ｍ'!$B$50:$J$50,)),"")</f>
        <v>#N/A</v>
      </c>
      <c r="C276" s="173"/>
      <c r="D276" s="399"/>
      <c r="E276" s="61"/>
      <c r="F276" s="60"/>
      <c r="H276" s="173"/>
    </row>
    <row r="277" spans="1:16" s="22" customFormat="1" ht="14.25" hidden="1" customHeight="1">
      <c r="A277" s="22">
        <v>5</v>
      </c>
      <c r="B277" s="401" t="str">
        <f>IF(A277="","",IF(INDEX('2×M'!$B$2:$D$93,MATCH($A277,'2×M'!$B$2:$B$93,),MATCH($B$243,'2×M'!$B$2:$D$2,))&lt;&gt;"",INDEX('2×M'!$B$2:$D$93,MATCH($A277,'2×M'!$B$2:$B$93,),MATCH($B$243,'2×M'!$B$2:$D$2,)),""))</f>
        <v>浜松大平台高校</v>
      </c>
      <c r="C277" s="173"/>
      <c r="D277" s="399">
        <v>3</v>
      </c>
      <c r="E277" s="57"/>
      <c r="F277" s="344"/>
      <c r="H277" s="173"/>
    </row>
    <row r="278" spans="1:16" s="22" customFormat="1" ht="14.25" hidden="1" customHeight="1">
      <c r="B278" s="401" t="e">
        <f ca="1">IF(INDEX('１×Ｍ'!$B$50:$J$70,MATCH($A$149,'１×Ｍ'!$B$50:$B$70,),MATCH($B278,'１×Ｍ'!$B$50:$J$50,))&lt;&gt;"",INDEX('１×Ｍ'!$B$50:$J$70,MATCH($A$149,'１×Ｍ'!$B$50:$B$70,),MATCH($B278,'１×Ｍ'!$B$50:$J$50,)),"")</f>
        <v>#N/A</v>
      </c>
      <c r="C278" s="173"/>
      <c r="D278" s="399"/>
      <c r="E278" s="343"/>
      <c r="F278" s="345"/>
      <c r="H278" s="173"/>
    </row>
    <row r="279" spans="1:16" s="22" customFormat="1" ht="14.25" hidden="1" customHeight="1">
      <c r="A279" s="22">
        <v>6</v>
      </c>
      <c r="B279" s="401" t="str">
        <f>IF(A279="","",IF(INDEX('2×M'!$B$2:$D$93,MATCH($A279,'2×M'!$B$2:$B$93,),MATCH($B$243,'2×M'!$B$2:$D$2,))&lt;&gt;"",INDEX('2×M'!$B$2:$D$93,MATCH($A279,'2×M'!$B$2:$B$93,),MATCH($B$243,'2×M'!$B$2:$D$2,)),""))</f>
        <v>浜松湖南高校A</v>
      </c>
      <c r="C279" s="173"/>
      <c r="D279" s="399">
        <v>4</v>
      </c>
      <c r="E279" s="57"/>
      <c r="F279" s="63"/>
      <c r="H279" s="173"/>
    </row>
    <row r="280" spans="1:16" s="22" customFormat="1" ht="14.25" hidden="1" customHeight="1">
      <c r="B280" s="401" t="e">
        <f ca="1">IF(INDEX('１×Ｍ'!$B$50:$J$70,MATCH($A$149,'１×Ｍ'!$B$50:$B$70,),MATCH($B280,'１×Ｍ'!$B$50:$J$50,))&lt;&gt;"",INDEX('１×Ｍ'!$B$50:$J$70,MATCH($A$149,'１×Ｍ'!$B$50:$B$70,),MATCH($B280,'１×Ｍ'!$B$50:$J$50,)),"")</f>
        <v>#N/A</v>
      </c>
      <c r="C280" s="173"/>
      <c r="D280" s="399"/>
      <c r="E280" s="343"/>
      <c r="F280" s="57"/>
      <c r="H280" s="173"/>
    </row>
    <row r="281" spans="1:16" s="22" customFormat="1" ht="14.25" hidden="1" customHeight="1">
      <c r="B281" s="401" t="str">
        <f>IF(A281="","",IF(INDEX('2×M'!$B$2:$D$93,MATCH($A281,'2×M'!$B$2:$B$93,),MATCH($B$243,'2×M'!$B$2:$D$2,))&lt;&gt;"",INDEX('2×M'!$B$2:$D$93,MATCH($A281,'2×M'!$B$2:$B$93,),MATCH($B$243,'2×M'!$B$2:$D$2,)),""))</f>
        <v/>
      </c>
      <c r="C281" s="173"/>
      <c r="D281" s="399"/>
      <c r="E281" s="57"/>
      <c r="F281" s="57"/>
      <c r="H281" s="173"/>
    </row>
    <row r="282" spans="1:16" s="22" customFormat="1" ht="14.25" hidden="1" customHeight="1">
      <c r="B282" s="401" t="e">
        <f ca="1">IF(INDEX('１×Ｍ'!$B$50:$J$70,MATCH($A$149,'１×Ｍ'!$B$50:$B$70,),MATCH($B282,'１×Ｍ'!$B$50:$J$50,))&lt;&gt;"",INDEX('１×Ｍ'!$B$50:$J$70,MATCH($A$149,'１×Ｍ'!$B$50:$B$70,),MATCH($B282,'１×Ｍ'!$B$50:$J$50,)),"")</f>
        <v>#N/A</v>
      </c>
      <c r="C282" s="173"/>
      <c r="D282" s="399"/>
      <c r="E282" s="57"/>
      <c r="F282" s="58"/>
      <c r="H282" s="173"/>
    </row>
    <row r="283" spans="1:16" s="22" customFormat="1" ht="14.25" hidden="1" customHeight="1">
      <c r="B283" s="401" t="str">
        <f>IF(A283="","",IF(INDEX('2×M'!$B$2:$D$93,MATCH($A283,'2×M'!$B$2:$B$93,),MATCH($B$243,'2×M'!$B$2:$D$2,))&lt;&gt;"",INDEX('2×M'!$B$2:$D$93,MATCH($A283,'2×M'!$B$2:$B$93,),MATCH($B$243,'2×M'!$B$2:$D$2,)),""))</f>
        <v/>
      </c>
      <c r="C283" s="173"/>
      <c r="D283" s="399"/>
      <c r="E283" s="57"/>
      <c r="F283" s="58"/>
      <c r="H283" s="173"/>
    </row>
    <row r="284" spans="1:16" s="22" customFormat="1" ht="14.25" hidden="1" customHeight="1">
      <c r="B284" s="401" t="e">
        <f ca="1">IF(INDEX('１×Ｍ'!$B$50:$J$70,MATCH($A$149,'１×Ｍ'!$B$50:$B$70,),MATCH($B284,'１×Ｍ'!$B$50:$J$50,))&lt;&gt;"",INDEX('１×Ｍ'!$B$50:$J$70,MATCH($A$149,'１×Ｍ'!$B$50:$B$70,),MATCH($B284,'１×Ｍ'!$B$50:$J$50,)),"")</f>
        <v>#N/A</v>
      </c>
      <c r="C284" s="173"/>
      <c r="D284" s="399"/>
      <c r="E284" s="57"/>
      <c r="F284" s="175"/>
      <c r="H284" s="173"/>
    </row>
    <row r="285" spans="1:16" s="22" customFormat="1" ht="14.25" customHeight="1">
      <c r="B285" s="16"/>
      <c r="C285" s="120"/>
      <c r="D285" s="17"/>
      <c r="F285" s="52"/>
      <c r="P285" s="102"/>
    </row>
    <row r="286" spans="1:16" s="22" customFormat="1" ht="14.25" hidden="1" customHeight="1">
      <c r="C286" s="52"/>
      <c r="D286" s="52"/>
      <c r="F286" s="54"/>
    </row>
    <row r="287" spans="1:16" s="22" customFormat="1" ht="14.25" hidden="1" customHeight="1">
      <c r="B287" s="401" t="str">
        <f>IF(A287="","",IF(INDEX('2×M'!$B$2:$D$93,MATCH($A287,'2×M'!$B$2:$B$93,),MATCH($B$243,'2×M'!$B$2:$D$2,))&lt;&gt;"",INDEX('2×M'!$B$2:$D$93,MATCH($A287,'2×M'!$B$2:$B$93,),MATCH($B$243,'2×M'!$B$2:$D$2,)),""))</f>
        <v/>
      </c>
      <c r="C287" s="173"/>
      <c r="D287" s="399">
        <v>1</v>
      </c>
    </row>
    <row r="288" spans="1:16" s="22" customFormat="1" ht="14.25" hidden="1" customHeight="1">
      <c r="B288" s="401" t="e">
        <f ca="1">IF(INDEX('１×Ｍ'!$B$50:$J$70,MATCH($A$149,'１×Ｍ'!$B$50:$B$70,),MATCH($B288,'１×Ｍ'!$B$50:$J$50,))&lt;&gt;"",INDEX('１×Ｍ'!$B$50:$J$70,MATCH($A$149,'１×Ｍ'!$B$50:$B$70,),MATCH($B288,'１×Ｍ'!$B$50:$J$50,)),"")</f>
        <v>#N/A</v>
      </c>
      <c r="C288" s="173"/>
      <c r="D288" s="399"/>
      <c r="E288" s="61"/>
      <c r="F288" s="53"/>
    </row>
    <row r="289" spans="1:19" s="22" customFormat="1" ht="14.25" hidden="1" customHeight="1">
      <c r="B289" s="401" t="str">
        <f>IF(A289="","",IF(INDEX('2×M'!$B$2:$D$93,MATCH($A289,'2×M'!$B$2:$B$93,),MATCH($B$243,'2×M'!$B$2:$D$2,))&lt;&gt;"",INDEX('2×M'!$B$2:$D$93,MATCH($A289,'2×M'!$B$2:$B$93,),MATCH($B$243,'2×M'!$B$2:$D$2,)),""))</f>
        <v/>
      </c>
      <c r="C289" s="173"/>
      <c r="D289" s="399">
        <v>2</v>
      </c>
      <c r="E289" s="65"/>
      <c r="F289" s="58"/>
    </row>
    <row r="290" spans="1:19" s="22" customFormat="1" ht="14.25" hidden="1" customHeight="1">
      <c r="B290" s="401" t="e">
        <f ca="1">IF(INDEX('１×Ｍ'!$B$50:$J$70,MATCH($A$149,'１×Ｍ'!$B$50:$B$70,),MATCH($B290,'１×Ｍ'!$B$50:$J$50,))&lt;&gt;"",INDEX('１×Ｍ'!$B$50:$J$70,MATCH($A$149,'１×Ｍ'!$B$50:$B$70,),MATCH($B290,'１×Ｍ'!$B$50:$J$50,)),"")</f>
        <v>#N/A</v>
      </c>
      <c r="C290" s="173"/>
      <c r="D290" s="399"/>
      <c r="E290" s="61"/>
      <c r="F290" s="60"/>
    </row>
    <row r="291" spans="1:19" s="22" customFormat="1" ht="14.25" hidden="1" customHeight="1">
      <c r="B291" s="401" t="str">
        <f>IF(A291="","",IF(INDEX('2×M'!$B$2:$D$93,MATCH($A291,'2×M'!$B$2:$B$93,),MATCH($B$243,'2×M'!$B$2:$D$2,))&lt;&gt;"",INDEX('2×M'!$B$2:$D$93,MATCH($A291,'2×M'!$B$2:$B$93,),MATCH($B$243,'2×M'!$B$2:$D$2,)),""))</f>
        <v/>
      </c>
      <c r="C291" s="173"/>
      <c r="D291" s="399">
        <v>3</v>
      </c>
      <c r="E291" s="65"/>
      <c r="F291" s="60"/>
    </row>
    <row r="292" spans="1:19" s="22" customFormat="1" ht="14.25" hidden="1" customHeight="1">
      <c r="B292" s="401" t="e">
        <f ca="1">IF(INDEX('１×Ｍ'!$B$50:$J$70,MATCH($A$149,'１×Ｍ'!$B$50:$B$70,),MATCH($B292,'１×Ｍ'!$B$50:$J$50,))&lt;&gt;"",INDEX('１×Ｍ'!$B$50:$J$70,MATCH($A$149,'１×Ｍ'!$B$50:$B$70,),MATCH($B292,'１×Ｍ'!$B$50:$J$50,)),"")</f>
        <v>#N/A</v>
      </c>
      <c r="C292" s="173"/>
      <c r="D292" s="399"/>
      <c r="E292" s="61"/>
      <c r="F292" s="60"/>
    </row>
    <row r="293" spans="1:19" s="22" customFormat="1" ht="14.25" hidden="1" customHeight="1">
      <c r="B293" s="401" t="str">
        <f>IF(A293="","",IF(INDEX('2×M'!$B$2:$D$93,MATCH($A293,'2×M'!$B$2:$B$93,),MATCH($B$243,'2×M'!$B$2:$D$2,))&lt;&gt;"",INDEX('2×M'!$B$2:$D$93,MATCH($A293,'2×M'!$B$2:$B$93,),MATCH($B$243,'2×M'!$B$2:$D$2,)),""))</f>
        <v/>
      </c>
      <c r="C293" s="173"/>
      <c r="D293" s="399">
        <v>4</v>
      </c>
      <c r="E293" s="62"/>
      <c r="F293" s="73"/>
    </row>
    <row r="294" spans="1:19" s="22" customFormat="1" ht="14.25" hidden="1" customHeight="1">
      <c r="B294" s="401" t="e">
        <f ca="1">IF(INDEX('１×Ｍ'!$B$50:$J$70,MATCH($A$149,'１×Ｍ'!$B$50:$B$70,),MATCH($B294,'１×Ｍ'!$B$50:$J$50,))&lt;&gt;"",INDEX('１×Ｍ'!$B$50:$J$70,MATCH($A$149,'１×Ｍ'!$B$50:$B$70,),MATCH($B294,'１×Ｍ'!$B$50:$J$50,)),"")</f>
        <v>#N/A</v>
      </c>
      <c r="C294" s="173"/>
      <c r="D294" s="399"/>
      <c r="E294" s="61"/>
      <c r="F294" s="60"/>
      <c r="I294" s="167"/>
    </row>
    <row r="295" spans="1:19" s="22" customFormat="1" ht="14.25" hidden="1" customHeight="1">
      <c r="B295" s="401" t="str">
        <f>IF(A295="","",IF(INDEX('2×M'!$B$2:$D$93,MATCH($A295,'2×M'!$B$2:$B$93,),MATCH($B$243,'2×M'!$B$2:$D$2,))&lt;&gt;"",INDEX('2×M'!$B$2:$D$93,MATCH($A295,'2×M'!$B$2:$B$93,),MATCH($B$243,'2×M'!$B$2:$D$2,)),""))</f>
        <v/>
      </c>
      <c r="C295" s="173"/>
      <c r="D295" s="399">
        <v>5</v>
      </c>
      <c r="E295" s="62"/>
      <c r="F295" s="60"/>
      <c r="I295" s="167"/>
    </row>
    <row r="296" spans="1:19" s="22" customFormat="1" ht="14.25" hidden="1" customHeight="1">
      <c r="B296" s="401" t="e">
        <f ca="1">IF(INDEX('１×Ｍ'!$B$50:$J$70,MATCH($A$149,'１×Ｍ'!$B$50:$B$70,),MATCH($B296,'１×Ｍ'!$B$50:$J$50,))&lt;&gt;"",INDEX('１×Ｍ'!$B$50:$J$70,MATCH($A$149,'１×Ｍ'!$B$50:$B$70,),MATCH($B296,'１×Ｍ'!$B$50:$J$50,)),"")</f>
        <v>#N/A</v>
      </c>
      <c r="C296" s="173"/>
      <c r="D296" s="399"/>
      <c r="E296" s="61"/>
      <c r="F296" s="58"/>
      <c r="I296" s="167"/>
    </row>
    <row r="297" spans="1:19" ht="14.25" hidden="1" customHeight="1">
      <c r="A297" s="22"/>
      <c r="B297" s="401" t="str">
        <f>IF(A297="","",IF(INDEX('2×M'!$B$2:$D$93,MATCH($A297,'2×M'!$B$2:$B$93,),MATCH($B$243,'2×M'!$B$2:$D$2,))&lt;&gt;"",INDEX('2×M'!$B$2:$D$93,MATCH($A297,'2×M'!$B$2:$B$93,),MATCH($B$243,'2×M'!$B$2:$D$2,)),""))</f>
        <v/>
      </c>
      <c r="C297" s="173"/>
      <c r="D297" s="399">
        <v>6</v>
      </c>
      <c r="E297" s="65"/>
      <c r="F297" s="53"/>
      <c r="G297" s="22"/>
      <c r="H297" s="22"/>
      <c r="I297" s="167"/>
      <c r="J297" s="22"/>
      <c r="K297" s="22"/>
      <c r="L297" s="22"/>
      <c r="M297" s="22"/>
    </row>
    <row r="298" spans="1:19" s="22" customFormat="1" ht="14.25" hidden="1" customHeight="1">
      <c r="B298" s="401" t="e">
        <f ca="1">IF(INDEX('１×Ｍ'!$B$50:$J$70,MATCH($A$149,'１×Ｍ'!$B$50:$B$70,),MATCH($B298,'１×Ｍ'!$B$50:$J$50,))&lt;&gt;"",INDEX('１×Ｍ'!$B$50:$J$70,MATCH($A$149,'１×Ｍ'!$B$50:$B$70,),MATCH($B298,'１×Ｍ'!$B$50:$J$50,)),"")</f>
        <v>#N/A</v>
      </c>
      <c r="C298" s="173"/>
      <c r="D298" s="399"/>
      <c r="E298" s="59"/>
      <c r="F298" s="53"/>
    </row>
    <row r="299" spans="1:19" s="22" customFormat="1" ht="14" hidden="1">
      <c r="B299" s="16"/>
      <c r="C299" s="120"/>
      <c r="D299" s="17"/>
      <c r="F299" s="53"/>
    </row>
    <row r="300" spans="1:19" s="22" customFormat="1" ht="14">
      <c r="B300" s="49" t="s">
        <v>74</v>
      </c>
      <c r="C300" s="120"/>
      <c r="D300" s="17"/>
      <c r="F300" s="53"/>
    </row>
    <row r="301" spans="1:19" s="22" customFormat="1" ht="14">
      <c r="B301" s="88" t="s">
        <v>1</v>
      </c>
      <c r="C301" s="120"/>
      <c r="D301" s="17"/>
      <c r="F301" s="53"/>
    </row>
    <row r="302" spans="1:19" s="22" customFormat="1" ht="14">
      <c r="B302" s="51" t="s">
        <v>73</v>
      </c>
      <c r="C302" s="50"/>
      <c r="D302" s="52"/>
      <c r="F302" s="53"/>
    </row>
    <row r="303" spans="1:19" s="22" customFormat="1" ht="14">
      <c r="C303" s="52"/>
      <c r="D303" s="52"/>
      <c r="E303" s="22" t="s">
        <v>57</v>
      </c>
      <c r="F303" s="53"/>
      <c r="I303" s="22" t="s">
        <v>126</v>
      </c>
      <c r="Q303" s="120" t="s">
        <v>53</v>
      </c>
    </row>
    <row r="304" spans="1:19" s="22" customFormat="1" ht="14">
      <c r="B304" s="22" t="s">
        <v>72</v>
      </c>
      <c r="C304" s="52"/>
      <c r="D304" s="52" t="s">
        <v>76</v>
      </c>
      <c r="E304" s="79">
        <v>44660</v>
      </c>
      <c r="F304" s="52">
        <v>1</v>
      </c>
      <c r="H304" s="52" t="s">
        <v>2</v>
      </c>
      <c r="I304" s="79">
        <v>44661</v>
      </c>
      <c r="J304" s="52">
        <v>33</v>
      </c>
      <c r="L304" s="165"/>
      <c r="M304" s="165"/>
      <c r="N304" s="52"/>
      <c r="P304" s="52" t="s">
        <v>2</v>
      </c>
      <c r="Q304" s="79">
        <v>44661</v>
      </c>
      <c r="R304" s="52">
        <v>38</v>
      </c>
      <c r="S304" s="53"/>
    </row>
    <row r="305" spans="1:18" s="22" customFormat="1" ht="14">
      <c r="C305" s="52"/>
      <c r="D305" s="52"/>
      <c r="E305" s="22" t="s">
        <v>84</v>
      </c>
      <c r="F305" s="174">
        <f>VLOOKUP(F304,競漕日程!$A$4:$D$41,2)</f>
        <v>0.47916666666666669</v>
      </c>
      <c r="I305" s="22" t="s">
        <v>84</v>
      </c>
      <c r="J305" s="174">
        <f>VLOOKUP(J304,競漕日程!$A$4:$D$41,2)</f>
        <v>0.40277777777777801</v>
      </c>
      <c r="K305" s="170"/>
      <c r="N305" s="68"/>
      <c r="O305" s="170"/>
      <c r="Q305" s="57"/>
      <c r="R305" s="174">
        <f>VLOOKUP(R304,競漕日程!$A$4:$D$50,2)</f>
        <v>0.51388888888888895</v>
      </c>
    </row>
    <row r="306" spans="1:18" s="22" customFormat="1" ht="14">
      <c r="B306" s="401" t="str">
        <f>IF(A306="","",IF(INDEX('２×Ｗ'!$B$2:$D$56,MATCH($A306,'２×Ｗ'!$B$2:$B$56,),MATCH($B$304,'２×Ｗ'!$B$2:$D$2,))&lt;&gt;"",INDEX('２×Ｗ'!$B$2:$D$56,MATCH($A306,'２×Ｗ'!$B$2:$B$56,),MATCH($B$304,'２×Ｗ'!$B$2:$D$2,)),""))</f>
        <v/>
      </c>
      <c r="C306" s="120"/>
      <c r="D306" s="399"/>
      <c r="F306" s="53"/>
      <c r="H306" s="399">
        <v>1</v>
      </c>
      <c r="I306" s="57"/>
      <c r="J306" s="57"/>
      <c r="K306" s="170"/>
      <c r="L306" s="163"/>
      <c r="M306" s="55"/>
      <c r="N306" s="58"/>
      <c r="P306" s="399">
        <v>1</v>
      </c>
    </row>
    <row r="307" spans="1:18" s="22" customFormat="1" ht="14">
      <c r="B307" s="401" t="e">
        <f ca="1">IF(INDEX('１×Ｍ'!$B$50:$J$70,MATCH($A$149,'１×Ｍ'!$B$50:$B$70,),MATCH($B307,'１×Ｍ'!$B$50:$J$50,))&lt;&gt;"",INDEX('１×Ｍ'!$B$50:$J$70,MATCH($A$149,'１×Ｍ'!$B$50:$B$70,),MATCH($B307,'１×Ｍ'!$B$50:$J$50,)),"")</f>
        <v>#N/A</v>
      </c>
      <c r="C307" s="120"/>
      <c r="D307" s="399"/>
      <c r="E307" s="57"/>
      <c r="F307" s="58"/>
      <c r="H307" s="399"/>
      <c r="I307" s="342" t="s">
        <v>385</v>
      </c>
      <c r="J307" s="57"/>
      <c r="K307" s="170"/>
      <c r="L307" s="163"/>
      <c r="M307" s="57"/>
      <c r="N307" s="58"/>
      <c r="P307" s="399"/>
      <c r="Q307" s="61" t="s">
        <v>386</v>
      </c>
    </row>
    <row r="308" spans="1:18" s="22" customFormat="1" ht="14">
      <c r="A308" s="22">
        <v>4</v>
      </c>
      <c r="B308" s="401" t="str">
        <f>IF(A308="","",IF(INDEX('２×Ｗ'!$B$2:$D$56,MATCH($A308,'２×Ｗ'!$B$2:$B$56,),MATCH($B$304,'２×Ｗ'!$B$2:$D$2,))&lt;&gt;"",INDEX('２×Ｗ'!$B$2:$D$56,MATCH($A308,'２×Ｗ'!$B$2:$B$56,),MATCH($B$304,'２×Ｗ'!$B$2:$D$2,)),""))</f>
        <v>沼津東高校B</v>
      </c>
      <c r="C308" s="120"/>
      <c r="D308" s="399">
        <v>2</v>
      </c>
      <c r="E308" s="72"/>
      <c r="F308" s="58"/>
      <c r="H308" s="399">
        <v>2</v>
      </c>
      <c r="I308" s="65"/>
      <c r="J308" s="344"/>
      <c r="K308" s="170"/>
      <c r="L308" s="163"/>
      <c r="M308" s="57"/>
      <c r="N308" s="58"/>
      <c r="P308" s="399">
        <v>2</v>
      </c>
      <c r="Q308" s="62"/>
    </row>
    <row r="309" spans="1:18" s="22" customFormat="1" ht="14">
      <c r="B309" s="401" t="e">
        <f ca="1">IF(INDEX('１×Ｍ'!$B$50:$J$70,MATCH($A$149,'１×Ｍ'!$B$50:$B$70,),MATCH($B309,'１×Ｍ'!$B$50:$J$50,))&lt;&gt;"",INDEX('１×Ｍ'!$B$50:$J$70,MATCH($A$149,'１×Ｍ'!$B$50:$B$70,),MATCH($B309,'１×Ｍ'!$B$50:$J$50,)),"")</f>
        <v>#N/A</v>
      </c>
      <c r="C309" s="120"/>
      <c r="D309" s="399"/>
      <c r="E309" s="61"/>
      <c r="F309" s="60"/>
      <c r="H309" s="399"/>
      <c r="I309" s="61" t="s">
        <v>140</v>
      </c>
      <c r="J309" s="345"/>
      <c r="K309" s="170"/>
      <c r="L309" s="163"/>
      <c r="M309" s="57"/>
      <c r="N309" s="58"/>
      <c r="P309" s="399"/>
      <c r="Q309" s="61" t="s">
        <v>141</v>
      </c>
    </row>
    <row r="310" spans="1:18" s="22" customFormat="1" ht="14">
      <c r="A310" s="22">
        <v>1</v>
      </c>
      <c r="B310" s="401" t="str">
        <f>IF(A310="","",IF(INDEX('２×Ｗ'!$B$2:$D$56,MATCH($A310,'２×Ｗ'!$B$2:$B$56,),MATCH($B$304,'２×Ｗ'!$B$2:$D$2,))&lt;&gt;"",INDEX('２×Ｗ'!$B$2:$D$56,MATCH($A310,'２×Ｗ'!$B$2:$B$56,),MATCH($B$304,'２×Ｗ'!$B$2:$D$2,)),""))</f>
        <v>浜松西高校</v>
      </c>
      <c r="C310" s="120"/>
      <c r="D310" s="399">
        <v>3</v>
      </c>
      <c r="E310" s="62"/>
      <c r="F310" s="60"/>
      <c r="H310" s="399">
        <v>3</v>
      </c>
      <c r="I310" s="62"/>
      <c r="J310" s="63"/>
      <c r="K310" s="170"/>
      <c r="L310" s="163"/>
      <c r="M310" s="55"/>
      <c r="N310" s="58"/>
      <c r="P310" s="399">
        <v>3</v>
      </c>
      <c r="Q310" s="62"/>
    </row>
    <row r="311" spans="1:18" s="22" customFormat="1" ht="14">
      <c r="B311" s="401" t="e">
        <f ca="1">IF(INDEX('１×Ｍ'!$B$50:$J$70,MATCH($A$149,'１×Ｍ'!$B$50:$B$70,),MATCH($B311,'１×Ｍ'!$B$50:$J$50,))&lt;&gt;"",INDEX('１×Ｍ'!$B$50:$J$70,MATCH($A$149,'１×Ｍ'!$B$50:$B$70,),MATCH($B311,'１×Ｍ'!$B$50:$J$50,)),"")</f>
        <v>#N/A</v>
      </c>
      <c r="C311" s="120"/>
      <c r="D311" s="399"/>
      <c r="E311" s="61"/>
      <c r="F311" s="349"/>
      <c r="H311" s="399"/>
      <c r="I311" s="61" t="s">
        <v>136</v>
      </c>
      <c r="J311" s="345"/>
      <c r="K311" s="170"/>
      <c r="L311" s="163"/>
      <c r="M311" s="55"/>
      <c r="N311" s="58"/>
      <c r="P311" s="399"/>
      <c r="Q311" s="61" t="s">
        <v>134</v>
      </c>
      <c r="R311" s="82"/>
    </row>
    <row r="312" spans="1:18" s="22" customFormat="1" ht="14">
      <c r="A312" s="22">
        <v>5</v>
      </c>
      <c r="B312" s="401" t="str">
        <f>IF(A312="","",IF(INDEX('２×Ｗ'!$B$2:$D$56,MATCH($A312,'２×Ｗ'!$B$2:$B$56,),MATCH($B$304,'２×Ｗ'!$B$2:$D$2,))&lt;&gt;"",INDEX('２×Ｗ'!$B$2:$D$56,MATCH($A312,'２×Ｗ'!$B$2:$B$56,),MATCH($B$304,'２×Ｗ'!$B$2:$D$2,)),""))</f>
        <v>浜松湖南高校A</v>
      </c>
      <c r="C312" s="120"/>
      <c r="D312" s="399">
        <v>4</v>
      </c>
      <c r="E312" s="62"/>
      <c r="F312" s="350"/>
      <c r="H312" s="399">
        <v>4</v>
      </c>
      <c r="I312" s="62"/>
      <c r="J312" s="63"/>
      <c r="K312" s="170"/>
      <c r="L312" s="163"/>
      <c r="M312" s="55"/>
      <c r="N312" s="58"/>
      <c r="P312" s="399">
        <v>4</v>
      </c>
      <c r="Q312" s="62"/>
    </row>
    <row r="313" spans="1:18" s="22" customFormat="1" ht="14">
      <c r="B313" s="401" t="e">
        <f ca="1">IF(INDEX('１×Ｍ'!$B$50:$J$70,MATCH($A$149,'１×Ｍ'!$B$50:$B$70,),MATCH($B313,'１×Ｍ'!$B$50:$J$50,))&lt;&gt;"",INDEX('１×Ｍ'!$B$50:$J$70,MATCH($A$149,'１×Ｍ'!$B$50:$B$70,),MATCH($B313,'１×Ｍ'!$B$50:$J$50,)),"")</f>
        <v>#N/A</v>
      </c>
      <c r="C313" s="120"/>
      <c r="D313" s="399"/>
      <c r="E313" s="61"/>
      <c r="F313" s="58"/>
      <c r="H313" s="399"/>
      <c r="I313" s="342" t="s">
        <v>137</v>
      </c>
      <c r="J313" s="345"/>
      <c r="K313" s="170"/>
      <c r="L313" s="163"/>
      <c r="M313" s="55"/>
      <c r="N313" s="58"/>
      <c r="P313" s="399"/>
      <c r="Q313" s="61" t="s">
        <v>135</v>
      </c>
    </row>
    <row r="314" spans="1:18" s="22" customFormat="1" ht="14">
      <c r="A314" s="22">
        <v>7</v>
      </c>
      <c r="B314" s="401" t="str">
        <f>IF(A314="","",IF(INDEX('２×Ｗ'!$B$2:$D$56,MATCH($A314,'２×Ｗ'!$B$2:$B$56,),MATCH($B$304,'２×Ｗ'!$B$2:$D$2,))&lt;&gt;"",INDEX('２×Ｗ'!$B$2:$D$56,MATCH($A314,'２×Ｗ'!$B$2:$B$56,),MATCH($B$304,'２×Ｗ'!$B$2:$D$2,)),""))</f>
        <v>浜松湖南高校C</v>
      </c>
      <c r="C314" s="120"/>
      <c r="D314" s="399">
        <v>5</v>
      </c>
      <c r="E314" s="65"/>
      <c r="F314" s="58"/>
      <c r="H314" s="399">
        <v>5</v>
      </c>
      <c r="I314" s="65"/>
      <c r="J314" s="58"/>
      <c r="K314" s="170"/>
      <c r="L314" s="163"/>
      <c r="M314" s="55"/>
      <c r="N314" s="58"/>
      <c r="P314" s="399">
        <v>5</v>
      </c>
      <c r="Q314" s="62"/>
    </row>
    <row r="315" spans="1:18" s="22" customFormat="1" ht="14">
      <c r="B315" s="401" t="e">
        <f ca="1">IF(INDEX('１×Ｍ'!$B$50:$J$70,MATCH($A$149,'１×Ｍ'!$B$50:$B$70,),MATCH($B315,'１×Ｍ'!$B$50:$J$50,))&lt;&gt;"",INDEX('１×Ｍ'!$B$50:$J$70,MATCH($A$149,'１×Ｍ'!$B$50:$B$70,),MATCH($B315,'１×Ｍ'!$B$50:$J$50,)),"")</f>
        <v>#N/A</v>
      </c>
      <c r="C315" s="120"/>
      <c r="D315" s="399"/>
      <c r="E315" s="59"/>
      <c r="F315" s="175"/>
      <c r="H315" s="399"/>
      <c r="I315" s="57" t="s">
        <v>384</v>
      </c>
      <c r="J315" s="175"/>
      <c r="K315" s="170"/>
      <c r="L315" s="163"/>
      <c r="M315" s="55"/>
      <c r="N315" s="58"/>
      <c r="P315" s="399"/>
      <c r="Q315" s="61" t="s">
        <v>142</v>
      </c>
    </row>
    <row r="316" spans="1:18" s="22" customFormat="1" ht="14">
      <c r="B316" s="401" t="str">
        <f>IF(A316="","",IF(INDEX('２×Ｗ'!$B$2:$D$56,MATCH($A316,'２×Ｗ'!$B$2:$B$56,),MATCH($B$304,'２×Ｗ'!$B$2:$D$2,))&lt;&gt;"",INDEX('２×Ｗ'!$B$2:$D$56,MATCH($A316,'２×Ｗ'!$B$2:$B$56,),MATCH($B$304,'２×Ｗ'!$B$2:$D$2,)),""))</f>
        <v/>
      </c>
      <c r="C316" s="123"/>
      <c r="D316" s="399"/>
      <c r="E316" s="57"/>
      <c r="F316" s="53"/>
      <c r="H316" s="399"/>
      <c r="I316" s="57"/>
      <c r="J316" s="175"/>
      <c r="K316" s="170"/>
      <c r="L316" s="163"/>
      <c r="M316" s="55"/>
      <c r="N316" s="55"/>
      <c r="P316" s="399">
        <v>6</v>
      </c>
      <c r="Q316" s="65"/>
    </row>
    <row r="317" spans="1:18" s="22" customFormat="1" ht="14">
      <c r="B317" s="401" t="e">
        <f ca="1">IF(INDEX('１×Ｍ'!$B$50:$J$70,MATCH($A$149,'１×Ｍ'!$B$50:$B$70,),MATCH($B317,'１×Ｍ'!$B$50:$J$50,))&lt;&gt;"",INDEX('１×Ｍ'!$B$50:$J$70,MATCH($A$149,'１×Ｍ'!$B$50:$B$70,),MATCH($B317,'１×Ｍ'!$B$50:$J$50,)),"")</f>
        <v>#N/A</v>
      </c>
      <c r="C317" s="123"/>
      <c r="D317" s="399"/>
      <c r="F317" s="53"/>
      <c r="H317" s="399"/>
      <c r="J317" s="175"/>
      <c r="K317" s="170"/>
      <c r="L317" s="163"/>
      <c r="M317" s="170"/>
      <c r="N317" s="170"/>
      <c r="P317" s="399"/>
      <c r="Q317" s="22" t="s">
        <v>387</v>
      </c>
    </row>
    <row r="318" spans="1:18" s="22" customFormat="1" ht="14">
      <c r="C318" s="52"/>
      <c r="D318" s="52"/>
      <c r="F318" s="52">
        <f>F304+1</f>
        <v>2</v>
      </c>
      <c r="H318" s="165"/>
      <c r="I318" s="165"/>
      <c r="J318" s="52"/>
      <c r="K318" s="170"/>
      <c r="L318" s="170"/>
      <c r="M318" s="170"/>
      <c r="N318" s="52"/>
      <c r="P318" s="122"/>
      <c r="Q318" s="57"/>
      <c r="R318" s="105"/>
    </row>
    <row r="319" spans="1:18" s="22" customFormat="1" ht="14">
      <c r="C319" s="52"/>
      <c r="D319" s="52"/>
      <c r="E319" s="22" t="s">
        <v>85</v>
      </c>
      <c r="F319" s="174">
        <f>VLOOKUP(F318,競漕日程!$A$4:$D$41,2)</f>
        <v>0.48472222222222222</v>
      </c>
      <c r="H319" s="170"/>
      <c r="I319" s="170"/>
      <c r="J319" s="68"/>
      <c r="K319" s="170"/>
      <c r="L319" s="170"/>
      <c r="M319" s="170"/>
      <c r="N319" s="69"/>
      <c r="O319" s="170"/>
      <c r="P319" s="57"/>
      <c r="Q319" s="57"/>
      <c r="R319" s="69"/>
    </row>
    <row r="320" spans="1:18" s="22" customFormat="1" ht="14">
      <c r="B320" s="401" t="str">
        <f>IF(A320="","",IF(INDEX('２×Ｗ'!$B$2:$D$56,MATCH($A320,'２×Ｗ'!$B$2:$B$56,),MATCH($B$304,'２×Ｗ'!$B$2:$D$2,))&lt;&gt;"",INDEX('２×Ｗ'!$B$2:$D$56,MATCH($A320,'２×Ｗ'!$B$2:$B$56,),MATCH($B$304,'２×Ｗ'!$B$2:$D$2,)),""))</f>
        <v/>
      </c>
      <c r="C320" s="120"/>
      <c r="D320" s="399"/>
      <c r="F320" s="103"/>
      <c r="H320" s="163"/>
      <c r="I320" s="170"/>
      <c r="J320" s="170"/>
      <c r="K320" s="166"/>
      <c r="L320" s="163"/>
      <c r="M320" s="55"/>
      <c r="N320" s="58"/>
      <c r="O320" s="170"/>
      <c r="P320" s="400"/>
      <c r="Q320" s="57"/>
      <c r="R320" s="57"/>
    </row>
    <row r="321" spans="1:18" s="22" customFormat="1" ht="14">
      <c r="B321" s="401" t="e">
        <f ca="1">IF(INDEX('１×Ｍ'!$B$50:$J$70,MATCH($A$149,'１×Ｍ'!$B$50:$B$70,),MATCH($B321,'１×Ｍ'!$B$50:$J$50,))&lt;&gt;"",INDEX('１×Ｍ'!$B$50:$J$70,MATCH($A$149,'１×Ｍ'!$B$50:$B$70,),MATCH($B321,'１×Ｍ'!$B$50:$J$50,)),"")</f>
        <v>#N/A</v>
      </c>
      <c r="C321" s="120"/>
      <c r="D321" s="399"/>
      <c r="E321" s="57"/>
      <c r="F321" s="58"/>
      <c r="H321" s="163"/>
      <c r="I321" s="167"/>
      <c r="J321" s="55"/>
      <c r="K321" s="170"/>
      <c r="L321" s="163"/>
      <c r="M321" s="55"/>
      <c r="N321" s="58"/>
      <c r="O321" s="170"/>
      <c r="P321" s="400"/>
      <c r="Q321" s="57"/>
      <c r="R321" s="57"/>
    </row>
    <row r="322" spans="1:18" s="22" customFormat="1" ht="14">
      <c r="A322" s="22">
        <v>6</v>
      </c>
      <c r="B322" s="401" t="str">
        <f>IF(A322="","",IF(INDEX('２×Ｗ'!$B$2:$D$56,MATCH($A322,'２×Ｗ'!$B$2:$B$56,),MATCH($B$304,'２×Ｗ'!$B$2:$D$2,))&lt;&gt;"",INDEX('２×Ｗ'!$B$2:$D$56,MATCH($A322,'２×Ｗ'!$B$2:$B$56,),MATCH($B$304,'２×Ｗ'!$B$2:$D$2,)),""))</f>
        <v>浜松湖南高校B</v>
      </c>
      <c r="C322" s="120"/>
      <c r="D322" s="399">
        <v>2</v>
      </c>
      <c r="E322" s="72"/>
      <c r="F322" s="58"/>
      <c r="H322" s="163"/>
      <c r="J322" s="55"/>
      <c r="K322" s="170"/>
      <c r="L322" s="163"/>
      <c r="M322" s="55"/>
      <c r="N322" s="58"/>
      <c r="O322" s="170"/>
      <c r="P322" s="400"/>
      <c r="Q322" s="57"/>
      <c r="R322" s="57"/>
    </row>
    <row r="323" spans="1:18" s="22" customFormat="1" ht="14">
      <c r="B323" s="401" t="e">
        <f ca="1">IF(INDEX('１×Ｍ'!$B$50:$J$70,MATCH($A$149,'１×Ｍ'!$B$50:$B$70,),MATCH($B323,'１×Ｍ'!$B$50:$J$50,))&lt;&gt;"",INDEX('１×Ｍ'!$B$50:$J$70,MATCH($A$149,'１×Ｍ'!$B$50:$B$70,),MATCH($B323,'１×Ｍ'!$B$50:$J$50,)),"")</f>
        <v>#N/A</v>
      </c>
      <c r="C323" s="120"/>
      <c r="D323" s="399"/>
      <c r="E323" s="61"/>
      <c r="F323" s="60"/>
      <c r="H323" s="163"/>
      <c r="J323" s="55"/>
      <c r="K323" s="170"/>
      <c r="L323" s="163"/>
      <c r="M323" s="55"/>
      <c r="N323" s="58"/>
      <c r="O323" s="170"/>
      <c r="P323" s="400"/>
      <c r="Q323" s="57"/>
      <c r="R323" s="57"/>
    </row>
    <row r="324" spans="1:18" s="22" customFormat="1" ht="14">
      <c r="A324" s="22">
        <v>2</v>
      </c>
      <c r="B324" s="401" t="str">
        <f>IF(A324="","",IF(INDEX('２×Ｗ'!$B$2:$D$56,MATCH($A324,'２×Ｗ'!$B$2:$B$56,),MATCH($B$304,'２×Ｗ'!$B$2:$D$2,))&lt;&gt;"",INDEX('２×Ｗ'!$B$2:$D$56,MATCH($A324,'２×Ｗ'!$B$2:$B$56,),MATCH($B$304,'２×Ｗ'!$B$2:$D$2,)),""))</f>
        <v>湖西高校</v>
      </c>
      <c r="C324" s="120"/>
      <c r="D324" s="399">
        <v>3</v>
      </c>
      <c r="E324" s="62"/>
      <c r="F324" s="349"/>
      <c r="H324" s="163"/>
      <c r="I324" s="55"/>
      <c r="J324" s="55"/>
      <c r="K324" s="170"/>
      <c r="L324" s="163"/>
      <c r="M324" s="55"/>
      <c r="N324" s="58"/>
      <c r="O324" s="170"/>
      <c r="P324" s="400"/>
      <c r="Q324" s="57"/>
      <c r="R324" s="57"/>
    </row>
    <row r="325" spans="1:18" s="22" customFormat="1" ht="14">
      <c r="B325" s="401" t="e">
        <f ca="1">IF(INDEX('１×Ｍ'!$B$50:$J$70,MATCH($A$149,'１×Ｍ'!$B$50:$B$70,),MATCH($B325,'１×Ｍ'!$B$50:$J$50,))&lt;&gt;"",INDEX('１×Ｍ'!$B$50:$J$70,MATCH($A$149,'１×Ｍ'!$B$50:$B$70,),MATCH($B325,'１×Ｍ'!$B$50:$J$50,)),"")</f>
        <v>#N/A</v>
      </c>
      <c r="C325" s="120"/>
      <c r="D325" s="399"/>
      <c r="E325" s="61"/>
      <c r="F325" s="350"/>
      <c r="H325" s="163"/>
      <c r="I325" s="55"/>
      <c r="J325" s="55"/>
      <c r="K325" s="170"/>
      <c r="L325" s="163"/>
      <c r="M325" s="55"/>
      <c r="N325" s="58"/>
      <c r="O325" s="170"/>
      <c r="P325" s="400"/>
      <c r="Q325" s="57"/>
      <c r="R325" s="57"/>
    </row>
    <row r="326" spans="1:18" s="22" customFormat="1" ht="14">
      <c r="A326" s="22">
        <v>3</v>
      </c>
      <c r="B326" s="401" t="str">
        <f>IF(A326="","",IF(INDEX('２×Ｗ'!$B$2:$D$56,MATCH($A326,'２×Ｗ'!$B$2:$B$56,),MATCH($B$304,'２×Ｗ'!$B$2:$D$2,))&lt;&gt;"",INDEX('２×Ｗ'!$B$2:$D$56,MATCH($A326,'２×Ｗ'!$B$2:$B$56,),MATCH($B$304,'２×Ｗ'!$B$2:$D$2,)),""))</f>
        <v>沼津東高校A</v>
      </c>
      <c r="C326" s="120"/>
      <c r="D326" s="399">
        <v>4</v>
      </c>
      <c r="E326" s="62"/>
      <c r="F326" s="58"/>
      <c r="G326" s="16"/>
      <c r="H326" s="163"/>
      <c r="J326" s="55"/>
      <c r="K326" s="170"/>
      <c r="L326" s="163"/>
      <c r="M326" s="55"/>
      <c r="N326" s="58"/>
      <c r="O326" s="170"/>
      <c r="P326" s="400"/>
      <c r="Q326" s="57"/>
      <c r="R326" s="57"/>
    </row>
    <row r="327" spans="1:18" s="22" customFormat="1" ht="14">
      <c r="B327" s="401" t="e">
        <f ca="1">IF(INDEX('１×Ｍ'!$B$50:$J$70,MATCH($A$149,'１×Ｍ'!$B$50:$B$70,),MATCH($B327,'１×Ｍ'!$B$50:$J$50,))&lt;&gt;"",INDEX('１×Ｍ'!$B$50:$J$70,MATCH($A$149,'１×Ｍ'!$B$50:$B$70,),MATCH($B327,'１×Ｍ'!$B$50:$J$50,)),"")</f>
        <v>#N/A</v>
      </c>
      <c r="C327" s="120"/>
      <c r="D327" s="399"/>
      <c r="E327" s="343"/>
      <c r="F327" s="58"/>
      <c r="G327" s="16"/>
      <c r="H327" s="163"/>
      <c r="J327" s="55"/>
      <c r="K327" s="170"/>
      <c r="L327" s="163"/>
      <c r="M327" s="55"/>
      <c r="N327" s="58"/>
      <c r="O327" s="170"/>
      <c r="P327" s="400"/>
      <c r="Q327" s="57"/>
      <c r="R327" s="57"/>
    </row>
    <row r="328" spans="1:18" s="22" customFormat="1" ht="14">
      <c r="B328" s="401" t="str">
        <f>IF(A328="","",IF(INDEX('２×Ｗ'!$B$2:$D$56,MATCH($A328,'２×Ｗ'!$B$2:$B$56,),MATCH($B$304,'２×Ｗ'!$B$2:$D$2,))&lt;&gt;"",INDEX('２×Ｗ'!$B$2:$D$56,MATCH($A328,'２×Ｗ'!$B$2:$B$56,),MATCH($B$304,'２×Ｗ'!$B$2:$D$2,)),""))</f>
        <v/>
      </c>
      <c r="C328" s="120"/>
      <c r="D328" s="399"/>
      <c r="E328" s="57"/>
      <c r="F328" s="58"/>
      <c r="G328" s="16"/>
      <c r="H328" s="164"/>
      <c r="L328" s="163"/>
      <c r="M328" s="168"/>
      <c r="N328" s="169"/>
      <c r="O328" s="169"/>
      <c r="P328" s="400"/>
      <c r="Q328" s="57"/>
      <c r="R328" s="57"/>
    </row>
    <row r="329" spans="1:18" s="22" customFormat="1" ht="14">
      <c r="B329" s="401" t="e">
        <f ca="1">IF(INDEX('１×Ｍ'!$B$50:$J$70,MATCH($A$149,'１×Ｍ'!$B$50:$B$70,),MATCH($B329,'１×Ｍ'!$B$50:$J$50,))&lt;&gt;"",INDEX('１×Ｍ'!$B$50:$J$70,MATCH($A$149,'１×Ｍ'!$B$50:$B$70,),MATCH($B329,'１×Ｍ'!$B$50:$J$50,)),"")</f>
        <v>#N/A</v>
      </c>
      <c r="C329" s="120"/>
      <c r="D329" s="399"/>
      <c r="E329" s="57"/>
      <c r="F329" s="103"/>
      <c r="H329" s="164"/>
      <c r="L329" s="163"/>
      <c r="M329" s="169"/>
      <c r="N329" s="169"/>
      <c r="O329" s="169"/>
      <c r="P329" s="400"/>
      <c r="Q329" s="57"/>
      <c r="R329" s="57"/>
    </row>
    <row r="330" spans="1:18" s="22" customFormat="1" ht="14">
      <c r="B330" s="401" t="str">
        <f>IF(A330="","",IF(INDEX('２×Ｗ'!$B$2:$D$56,MATCH($A330,'２×Ｗ'!$B$2:$B$56,),MATCH($B$304,'２×Ｗ'!$B$2:$D$2,))&lt;&gt;"",INDEX('２×Ｗ'!$B$2:$D$56,MATCH($A330,'２×Ｗ'!$B$2:$B$56,),MATCH($B$304,'２×Ｗ'!$B$2:$D$2,)),""))</f>
        <v/>
      </c>
      <c r="C330" s="120"/>
      <c r="D330" s="399"/>
      <c r="E330" s="57"/>
      <c r="F330" s="103"/>
      <c r="H330" s="168"/>
      <c r="J330" s="57"/>
      <c r="L330" s="164"/>
      <c r="M330" s="57"/>
      <c r="P330" s="400"/>
      <c r="Q330" s="57"/>
      <c r="R330" s="57"/>
    </row>
    <row r="331" spans="1:18" s="22" customFormat="1" ht="14.25" customHeight="1">
      <c r="B331" s="401" t="e">
        <f ca="1">IF(INDEX('１×Ｍ'!$B$50:$J$70,MATCH($A$149,'１×Ｍ'!$B$50:$B$70,),MATCH($B331,'１×Ｍ'!$B$50:$J$50,))&lt;&gt;"",INDEX('１×Ｍ'!$B$50:$J$70,MATCH($A$149,'１×Ｍ'!$B$50:$B$70,),MATCH($B331,'１×Ｍ'!$B$50:$J$50,)),"")</f>
        <v>#N/A</v>
      </c>
      <c r="C331" s="120"/>
      <c r="D331" s="399"/>
      <c r="F331" s="103"/>
      <c r="H331" s="168"/>
      <c r="J331" s="57"/>
      <c r="L331" s="164"/>
      <c r="M331" s="57"/>
      <c r="P331" s="400"/>
      <c r="Q331" s="57"/>
      <c r="R331" s="57"/>
    </row>
    <row r="332" spans="1:18" s="22" customFormat="1" ht="13" customHeight="1">
      <c r="C332" s="52"/>
      <c r="D332" s="52"/>
      <c r="F332" s="52"/>
      <c r="Q332" s="57"/>
    </row>
    <row r="333" spans="1:18" s="22" customFormat="1" ht="15" hidden="1" customHeight="1">
      <c r="C333" s="52"/>
      <c r="D333" s="52"/>
      <c r="F333" s="75"/>
      <c r="Q333" s="57"/>
    </row>
    <row r="334" spans="1:18" s="22" customFormat="1" ht="1" hidden="1" customHeight="1">
      <c r="B334" s="407" t="e">
        <f>IF(INDEX('２×Ｗ'!$B$2:$D$56,MATCH($A$334,'２×Ｗ'!$B$2:$B$56,),MATCH($B304,'２×Ｗ'!$B$2:$D$2,))&lt;&gt;"",INDEX('２×Ｗ'!$B$2:$D$56,MATCH($A$334,'２×Ｗ'!$B$2:$B$56,),MATCH($B304,'２×Ｗ'!$B$2:$D$2,)),"")</f>
        <v>#N/A</v>
      </c>
      <c r="C334" s="123"/>
      <c r="D334" s="409">
        <v>1</v>
      </c>
      <c r="F334" s="93"/>
      <c r="Q334" s="57"/>
    </row>
    <row r="335" spans="1:18" s="22" customFormat="1" ht="1" hidden="1" customHeight="1">
      <c r="B335" s="407" t="e">
        <f ca="1">IF(INDEX('１×Ｍ'!$B$50:$J$70,MATCH($A$149,'１×Ｍ'!$B$50:$B$70,),MATCH($B335,'１×Ｍ'!$B$50:$J$50,))&lt;&gt;"",INDEX('１×Ｍ'!$B$50:$J$70,MATCH($A$149,'１×Ｍ'!$B$50:$B$70,),MATCH($B335,'１×Ｍ'!$B$50:$J$50,)),"")</f>
        <v>#N/A</v>
      </c>
      <c r="C335" s="123"/>
      <c r="D335" s="409"/>
      <c r="E335" s="57"/>
      <c r="F335" s="58"/>
      <c r="Q335" s="57"/>
    </row>
    <row r="336" spans="1:18" s="22" customFormat="1" ht="1" hidden="1" customHeight="1">
      <c r="B336" s="401" t="e">
        <f>IF(INDEX('２×Ｗ'!$B$2:$D$56,MATCH($A$336,'２×Ｗ'!$B$2:$B$56,),MATCH($B304,'２×Ｗ'!$B$2:$D$2,))&lt;&gt;"",INDEX('２×Ｗ'!$B$2:$D$56,MATCH($A$336,'２×Ｗ'!$B$2:$B$56,),MATCH($B304,'２×Ｗ'!$B$2:$D$2,)),"")</f>
        <v>#N/A</v>
      </c>
      <c r="C336" s="120"/>
      <c r="D336" s="399">
        <v>2</v>
      </c>
      <c r="E336" s="72"/>
      <c r="F336" s="58"/>
      <c r="Q336" s="57"/>
    </row>
    <row r="337" spans="2:17" s="22" customFormat="1" ht="1" hidden="1" customHeight="1">
      <c r="B337" s="401" t="e">
        <f ca="1">IF(INDEX('１×Ｍ'!$B$50:$J$70,MATCH($A$149,'１×Ｍ'!$B$50:$B$70,),MATCH($B337,'１×Ｍ'!$B$50:$J$50,))&lt;&gt;"",INDEX('１×Ｍ'!$B$50:$J$70,MATCH($A$149,'１×Ｍ'!$B$50:$B$70,),MATCH($B337,'１×Ｍ'!$B$50:$J$50,)),"")</f>
        <v>#N/A</v>
      </c>
      <c r="C337" s="120"/>
      <c r="D337" s="399"/>
      <c r="E337" s="61"/>
      <c r="F337" s="60"/>
      <c r="Q337" s="57"/>
    </row>
    <row r="338" spans="2:17" s="22" customFormat="1" ht="1" hidden="1" customHeight="1">
      <c r="B338" s="401" t="e">
        <f>IF(INDEX('２×Ｗ'!$B$2:$D$56,MATCH($A$338,'２×Ｗ'!$B$2:$B$56,),MATCH($B304,'２×Ｗ'!$B$2:$D$2,))&lt;&gt;"",INDEX('２×Ｗ'!$B$2:$D$56,MATCH($A$338,'２×Ｗ'!$B$2:$B$56,),MATCH($B304,'２×Ｗ'!$B$2:$D$2,)),"")</f>
        <v>#N/A</v>
      </c>
      <c r="C338" s="120"/>
      <c r="D338" s="399">
        <v>3</v>
      </c>
      <c r="E338" s="62"/>
      <c r="F338" s="60"/>
      <c r="Q338" s="57"/>
    </row>
    <row r="339" spans="2:17" s="22" customFormat="1" ht="1" hidden="1" customHeight="1">
      <c r="B339" s="401" t="e">
        <f ca="1">IF(INDEX('１×Ｍ'!$B$50:$J$70,MATCH($A$149,'１×Ｍ'!$B$50:$B$70,),MATCH($B339,'１×Ｍ'!$B$50:$J$50,))&lt;&gt;"",INDEX('１×Ｍ'!$B$50:$J$70,MATCH($A$149,'１×Ｍ'!$B$50:$B$70,),MATCH($B339,'１×Ｍ'!$B$50:$J$50,)),"")</f>
        <v>#N/A</v>
      </c>
      <c r="C339" s="120"/>
      <c r="D339" s="399"/>
      <c r="E339" s="61"/>
      <c r="F339" s="60"/>
      <c r="Q339" s="57"/>
    </row>
    <row r="340" spans="2:17" s="22" customFormat="1" ht="1" hidden="1" customHeight="1">
      <c r="B340" s="401" t="e">
        <f>IF(INDEX('２×Ｗ'!$B$2:$D$56,MATCH($A$340,'２×Ｗ'!$B$2:$B$56,),MATCH($B304,'２×Ｗ'!$B$2:$D$2,))&lt;&gt;"",INDEX('２×Ｗ'!$B$2:$D$56,MATCH($A$340,'２×Ｗ'!$B$2:$B$56,),MATCH($B304,'２×Ｗ'!$B$2:$D$2,)),"")</f>
        <v>#N/A</v>
      </c>
      <c r="C340" s="120"/>
      <c r="D340" s="399">
        <v>4</v>
      </c>
      <c r="E340" s="62"/>
      <c r="F340" s="60"/>
      <c r="Q340" s="57"/>
    </row>
    <row r="341" spans="2:17" s="22" customFormat="1" ht="1" hidden="1" customHeight="1">
      <c r="B341" s="401" t="e">
        <f ca="1">IF(INDEX('１×Ｍ'!$B$50:$J$70,MATCH($A$149,'１×Ｍ'!$B$50:$B$70,),MATCH($B341,'１×Ｍ'!$B$50:$J$50,))&lt;&gt;"",INDEX('１×Ｍ'!$B$50:$J$70,MATCH($A$149,'１×Ｍ'!$B$50:$B$70,),MATCH($B341,'１×Ｍ'!$B$50:$J$50,)),"")</f>
        <v>#N/A</v>
      </c>
      <c r="C341" s="120"/>
      <c r="D341" s="399"/>
      <c r="E341" s="61"/>
      <c r="F341" s="60"/>
      <c r="Q341" s="57"/>
    </row>
    <row r="342" spans="2:17" s="22" customFormat="1" ht="1" hidden="1" customHeight="1">
      <c r="B342" s="401" t="e">
        <f>IF(INDEX('２×Ｗ'!$B$2:$D$56,MATCH($A$342,'２×Ｗ'!$B$2:$B$56,),MATCH($B304,'２×Ｗ'!$B$2:$D$2,))&lt;&gt;"",INDEX('２×Ｗ'!$B$2:$D$56,MATCH($A$342,'２×Ｗ'!$B$2:$B$56,),MATCH($B304,'２×Ｗ'!$B$2:$D$2,)),"")</f>
        <v>#N/A</v>
      </c>
      <c r="C342" s="120"/>
      <c r="D342" s="399">
        <v>5</v>
      </c>
      <c r="E342" s="65"/>
      <c r="F342" s="60"/>
      <c r="Q342" s="57"/>
    </row>
    <row r="343" spans="2:17" s="22" customFormat="1" ht="14.25" hidden="1" customHeight="1">
      <c r="B343" s="401" t="e">
        <f ca="1">IF(INDEX('１×Ｍ'!$B$50:$J$70,MATCH($A$149,'１×Ｍ'!$B$50:$B$70,),MATCH($B343,'１×Ｍ'!$B$50:$J$50,))&lt;&gt;"",INDEX('１×Ｍ'!$B$50:$J$70,MATCH($A$149,'１×Ｍ'!$B$50:$B$70,),MATCH($B343,'１×Ｍ'!$B$50:$J$50,)),"")</f>
        <v>#N/A</v>
      </c>
      <c r="C343" s="120"/>
      <c r="D343" s="399"/>
      <c r="E343" s="59"/>
      <c r="F343" s="93"/>
      <c r="Q343" s="57"/>
    </row>
    <row r="344" spans="2:17" s="22" customFormat="1" ht="14.25" hidden="1" customHeight="1">
      <c r="B344" s="401"/>
      <c r="C344" s="120"/>
      <c r="D344" s="399"/>
      <c r="E344" s="57"/>
      <c r="F344" s="93"/>
      <c r="P344" s="400"/>
      <c r="Q344" s="57"/>
    </row>
    <row r="345" spans="2:17" s="22" customFormat="1" ht="9" hidden="1" customHeight="1">
      <c r="B345" s="401"/>
      <c r="C345" s="120"/>
      <c r="D345" s="399"/>
      <c r="F345" s="93"/>
      <c r="P345" s="400"/>
      <c r="Q345" s="57"/>
    </row>
    <row r="346" spans="2:17" s="22" customFormat="1" ht="14.5" hidden="1" customHeight="1">
      <c r="C346" s="52"/>
      <c r="D346" s="67"/>
      <c r="E346" s="57"/>
      <c r="F346" s="67">
        <v>11</v>
      </c>
      <c r="N346" s="49"/>
    </row>
    <row r="347" spans="2:17" s="22" customFormat="1" ht="14.5" hidden="1" customHeight="1">
      <c r="C347" s="52"/>
      <c r="D347" s="67"/>
      <c r="E347" s="57" t="s">
        <v>86</v>
      </c>
      <c r="F347" s="85">
        <v>0.47222222222222227</v>
      </c>
      <c r="N347" s="49"/>
    </row>
    <row r="348" spans="2:17" s="22" customFormat="1" ht="14.5" hidden="1" customHeight="1">
      <c r="B348" s="406" t="e">
        <f>IF(INDEX('２×Ｗ'!$B$2:$D$56,MATCH($A348,'２×Ｗ'!$B$2:$B$56,),MATCH($B$304,'２×Ｗ'!$B$2:$D$2,))&lt;&gt;"",INDEX('２×Ｗ'!$B$2:$D$56,MATCH($A348,'２×Ｗ'!$B$2:$B$56,),MATCH($B$304,'２×Ｗ'!$B$2:$D$2,)),"")</f>
        <v>#N/A</v>
      </c>
      <c r="C348" s="120"/>
      <c r="D348" s="400"/>
      <c r="E348" s="57"/>
      <c r="F348" s="53"/>
      <c r="N348" s="49"/>
    </row>
    <row r="349" spans="2:17" s="22" customFormat="1" ht="14.5" hidden="1" customHeight="1">
      <c r="B349" s="406" t="e">
        <f ca="1">IF(INDEX('１×Ｍ'!$B$50:$J$70,MATCH($A$149,'１×Ｍ'!$B$50:$B$70,),MATCH($B349,'１×Ｍ'!$B$50:$J$50,))&lt;&gt;"",INDEX('１×Ｍ'!$B$50:$J$70,MATCH($A$149,'１×Ｍ'!$B$50:$B$70,),MATCH($B349,'１×Ｍ'!$B$50:$J$50,)),"")</f>
        <v>#N/A</v>
      </c>
      <c r="C349" s="120"/>
      <c r="D349" s="400"/>
      <c r="E349" s="57"/>
      <c r="F349" s="58"/>
      <c r="N349" s="49"/>
    </row>
    <row r="350" spans="2:17" s="22" customFormat="1" ht="14.5" hidden="1" customHeight="1">
      <c r="B350" s="401" t="e">
        <f>IF(INDEX('２×Ｗ'!$B$2:$D$56,MATCH($A350,'２×Ｗ'!$B$2:$B$56,),MATCH($B$304,'２×Ｗ'!$B$2:$D$2,))&lt;&gt;"",INDEX('２×Ｗ'!$B$2:$D$56,MATCH($A350,'２×Ｗ'!$B$2:$B$56,),MATCH($B$304,'２×Ｗ'!$B$2:$D$2,)),"")</f>
        <v>#N/A</v>
      </c>
      <c r="C350" s="120"/>
      <c r="D350" s="400">
        <v>2</v>
      </c>
      <c r="E350" s="72"/>
      <c r="F350" s="58"/>
      <c r="N350" s="49"/>
    </row>
    <row r="351" spans="2:17" s="22" customFormat="1" ht="14.5" hidden="1" customHeight="1">
      <c r="B351" s="401" t="e">
        <f ca="1">IF(INDEX('１×Ｍ'!$B$50:$J$70,MATCH($A$149,'１×Ｍ'!$B$50:$B$70,),MATCH($B351,'１×Ｍ'!$B$50:$J$50,))&lt;&gt;"",INDEX('１×Ｍ'!$B$50:$J$70,MATCH($A$149,'１×Ｍ'!$B$50:$B$70,),MATCH($B351,'１×Ｍ'!$B$50:$J$50,)),"")</f>
        <v>#N/A</v>
      </c>
      <c r="C351" s="120"/>
      <c r="D351" s="400"/>
      <c r="E351" s="61"/>
      <c r="F351" s="60"/>
      <c r="N351" s="49"/>
    </row>
    <row r="352" spans="2:17" s="22" customFormat="1" ht="14.5" hidden="1" customHeight="1">
      <c r="B352" s="401" t="e">
        <f>IF(INDEX('２×Ｗ'!$B$2:$D$56,MATCH($A352,'２×Ｗ'!$B$2:$B$56,),MATCH($B$304,'２×Ｗ'!$B$2:$D$2,))&lt;&gt;"",INDEX('２×Ｗ'!$B$2:$D$56,MATCH($A352,'２×Ｗ'!$B$2:$B$56,),MATCH($B$304,'２×Ｗ'!$B$2:$D$2,)),"")</f>
        <v>#N/A</v>
      </c>
      <c r="C352" s="120"/>
      <c r="D352" s="400">
        <v>3</v>
      </c>
      <c r="E352" s="62"/>
      <c r="F352" s="60"/>
      <c r="N352" s="49"/>
    </row>
    <row r="353" spans="2:19" s="22" customFormat="1" ht="14.5" hidden="1" customHeight="1">
      <c r="B353" s="401" t="e">
        <f ca="1">IF(INDEX('１×Ｍ'!$B$50:$J$70,MATCH($A$149,'１×Ｍ'!$B$50:$B$70,),MATCH($B353,'１×Ｍ'!$B$50:$J$50,))&lt;&gt;"",INDEX('１×Ｍ'!$B$50:$J$70,MATCH($A$149,'１×Ｍ'!$B$50:$B$70,),MATCH($B353,'１×Ｍ'!$B$50:$J$50,)),"")</f>
        <v>#N/A</v>
      </c>
      <c r="C353" s="120"/>
      <c r="D353" s="400"/>
      <c r="E353" s="61"/>
      <c r="F353" s="60"/>
      <c r="N353" s="49"/>
    </row>
    <row r="354" spans="2:19" s="22" customFormat="1" ht="14.5" hidden="1" customHeight="1">
      <c r="B354" s="401" t="e">
        <f>IF(INDEX('２×Ｗ'!$B$2:$D$56,MATCH($A354,'２×Ｗ'!$B$2:$B$56,),MATCH($B$304,'２×Ｗ'!$B$2:$D$2,))&lt;&gt;"",INDEX('２×Ｗ'!$B$2:$D$56,MATCH($A354,'２×Ｗ'!$B$2:$B$56,),MATCH($B$304,'２×Ｗ'!$B$2:$D$2,)),"")</f>
        <v>#N/A</v>
      </c>
      <c r="C354" s="120"/>
      <c r="D354" s="400">
        <v>4</v>
      </c>
      <c r="E354" s="62"/>
      <c r="F354" s="60"/>
      <c r="N354" s="49"/>
    </row>
    <row r="355" spans="2:19" s="22" customFormat="1" ht="14.5" hidden="1" customHeight="1">
      <c r="B355" s="401" t="e">
        <f ca="1">IF(INDEX('１×Ｍ'!$B$50:$J$70,MATCH($A$149,'１×Ｍ'!$B$50:$B$70,),MATCH($B355,'１×Ｍ'!$B$50:$J$50,))&lt;&gt;"",INDEX('１×Ｍ'!$B$50:$J$70,MATCH($A$149,'１×Ｍ'!$B$50:$B$70,),MATCH($B355,'１×Ｍ'!$B$50:$J$50,)),"")</f>
        <v>#N/A</v>
      </c>
      <c r="C355" s="120"/>
      <c r="D355" s="400"/>
      <c r="E355" s="59"/>
      <c r="F355" s="60"/>
      <c r="N355" s="49"/>
    </row>
    <row r="356" spans="2:19" s="22" customFormat="1" ht="14.5" hidden="1" customHeight="1">
      <c r="B356" s="401" t="e">
        <f>IF(INDEX('２×Ｗ'!$B$2:$D$56,MATCH($A356,'２×Ｗ'!$B$2:$B$56,),MATCH($B$304,'２×Ｗ'!$B$2:$D$2,))&lt;&gt;"",INDEX('２×Ｗ'!$B$2:$D$56,MATCH($A356,'２×Ｗ'!$B$2:$B$56,),MATCH($B$304,'２×Ｗ'!$B$2:$D$2,)),"")</f>
        <v>#N/A</v>
      </c>
      <c r="C356" s="120"/>
      <c r="D356" s="400">
        <v>5</v>
      </c>
      <c r="E356" s="62"/>
      <c r="F356" s="53"/>
      <c r="N356" s="49"/>
    </row>
    <row r="357" spans="2:19" s="22" customFormat="1" ht="14.5" hidden="1" customHeight="1">
      <c r="B357" s="401" t="e">
        <f ca="1">IF(INDEX('１×Ｍ'!$B$50:$J$70,MATCH($A$149,'１×Ｍ'!$B$50:$B$70,),MATCH($B357,'１×Ｍ'!$B$50:$J$50,))&lt;&gt;"",INDEX('１×Ｍ'!$B$50:$J$70,MATCH($A$149,'１×Ｍ'!$B$50:$B$70,),MATCH($B357,'１×Ｍ'!$B$50:$J$50,)),"")</f>
        <v>#N/A</v>
      </c>
      <c r="C357" s="120"/>
      <c r="D357" s="400"/>
      <c r="E357" s="59"/>
      <c r="F357" s="53"/>
      <c r="I357" s="167"/>
      <c r="N357" s="49"/>
    </row>
    <row r="358" spans="2:19" s="22" customFormat="1" ht="14.5" hidden="1" customHeight="1">
      <c r="B358" s="406" t="e">
        <f>IF(INDEX('２×Ｗ'!$B$2:$D$56,MATCH($A358,'２×Ｗ'!$B$2:$B$56,),MATCH($B$304,'２×Ｗ'!$B$2:$D$2,))&lt;&gt;"",INDEX('２×Ｗ'!$B$2:$D$56,MATCH($A358,'２×Ｗ'!$B$2:$B$56,),MATCH($B$304,'２×Ｗ'!$B$2:$D$2,)),"")</f>
        <v>#N/A</v>
      </c>
      <c r="C358" s="120"/>
      <c r="D358" s="400"/>
      <c r="E358" s="57"/>
      <c r="F358" s="58"/>
      <c r="I358" s="167"/>
      <c r="N358" s="49"/>
    </row>
    <row r="359" spans="2:19" s="22" customFormat="1" ht="14.5" hidden="1" customHeight="1">
      <c r="B359" s="406" t="e">
        <f ca="1">IF(INDEX('１×Ｍ'!$B$50:$J$70,MATCH($A$149,'１×Ｍ'!$B$50:$B$70,),MATCH($B359,'１×Ｍ'!$B$50:$J$50,))&lt;&gt;"",INDEX('１×Ｍ'!$B$50:$J$70,MATCH($A$149,'１×Ｍ'!$B$50:$B$70,),MATCH($B359,'１×Ｍ'!$B$50:$J$50,)),"")</f>
        <v>#N/A</v>
      </c>
      <c r="C359" s="120"/>
      <c r="D359" s="400"/>
      <c r="F359" s="53"/>
      <c r="N359" s="49"/>
    </row>
    <row r="360" spans="2:19" s="22" customFormat="1" ht="14.5" hidden="1" customHeight="1">
      <c r="C360" s="52"/>
      <c r="D360" s="52"/>
      <c r="F360" s="53"/>
      <c r="N360" s="49"/>
    </row>
    <row r="361" spans="2:19" s="22" customFormat="1" ht="14.5" hidden="1" customHeight="1">
      <c r="C361" s="52"/>
      <c r="D361" s="52"/>
      <c r="F361" s="53"/>
      <c r="S361" s="49"/>
    </row>
    <row r="362" spans="2:19" s="22" customFormat="1" ht="14.5" hidden="1" customHeight="1">
      <c r="C362" s="52"/>
      <c r="D362" s="52"/>
      <c r="F362" s="93"/>
      <c r="S362" s="49"/>
    </row>
    <row r="363" spans="2:19" s="22" customFormat="1" ht="14">
      <c r="B363" s="49" t="s">
        <v>74</v>
      </c>
      <c r="C363" s="50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O363" s="49"/>
      <c r="P363" s="49"/>
      <c r="Q363" s="49"/>
      <c r="R363" s="49"/>
    </row>
    <row r="364" spans="2:19" s="22" customFormat="1" ht="14">
      <c r="B364" s="109" t="s">
        <v>69</v>
      </c>
      <c r="C364" s="50"/>
      <c r="F364" s="53"/>
      <c r="H364" s="163"/>
      <c r="P364" s="49"/>
      <c r="Q364" s="49"/>
      <c r="R364" s="49"/>
    </row>
    <row r="365" spans="2:19" s="22" customFormat="1" ht="14">
      <c r="B365" s="110" t="s">
        <v>75</v>
      </c>
      <c r="C365" s="50"/>
      <c r="D365" s="52"/>
      <c r="F365" s="53"/>
    </row>
    <row r="366" spans="2:19" s="22" customFormat="1" ht="14">
      <c r="B366" s="111"/>
      <c r="C366" s="52"/>
      <c r="D366" s="52"/>
      <c r="E366" s="22" t="s">
        <v>57</v>
      </c>
      <c r="F366" s="175"/>
      <c r="H366" s="57"/>
      <c r="I366" s="57"/>
      <c r="J366" s="57"/>
      <c r="K366" s="57"/>
      <c r="L366" s="57"/>
      <c r="M366" s="57"/>
      <c r="N366" s="57"/>
      <c r="Q366" s="55" t="s">
        <v>53</v>
      </c>
      <c r="R366" s="55"/>
    </row>
    <row r="367" spans="2:19" s="22" customFormat="1" ht="14">
      <c r="B367" s="111" t="s">
        <v>72</v>
      </c>
      <c r="C367" s="52"/>
      <c r="D367" s="52" t="s">
        <v>2</v>
      </c>
      <c r="E367" s="79">
        <v>44660</v>
      </c>
      <c r="F367" s="52">
        <v>19</v>
      </c>
      <c r="H367" s="105"/>
      <c r="I367" s="80"/>
      <c r="J367" s="105"/>
      <c r="K367" s="57"/>
      <c r="L367" s="105"/>
      <c r="M367" s="80"/>
      <c r="N367" s="105"/>
      <c r="P367" s="22" t="s">
        <v>2</v>
      </c>
      <c r="Q367" s="79">
        <v>44661</v>
      </c>
      <c r="R367" s="52">
        <v>41</v>
      </c>
    </row>
    <row r="368" spans="2:19" s="22" customFormat="1" ht="14">
      <c r="B368" s="111"/>
      <c r="C368" s="52"/>
      <c r="D368" s="52"/>
      <c r="F368" s="174">
        <f>VLOOKUP(F367,競漕日程!$A$4:$D$41,2)</f>
        <v>0.61944444444444402</v>
      </c>
      <c r="H368" s="57"/>
      <c r="I368" s="57"/>
      <c r="J368" s="69"/>
      <c r="K368" s="58"/>
      <c r="L368" s="57"/>
      <c r="M368" s="57"/>
      <c r="N368" s="69"/>
      <c r="O368" s="180"/>
      <c r="R368" s="174">
        <f>VLOOKUP(R367,競漕日程!$A$4:$D$50,2)</f>
        <v>0.53472222222222199</v>
      </c>
    </row>
    <row r="369" spans="1:18" s="22" customFormat="1" ht="14">
      <c r="A369" s="22">
        <v>3</v>
      </c>
      <c r="B369" s="403" t="str">
        <f>IF(A369="","",IF(INDEX('4×+M'!$B$2:$D$128,MATCH($A369,'4×+M'!$B$2:$B$128,),MATCH($B$367,'4×+M'!$B$2:$D$2,))&lt;&gt;"",INDEX('4×+M'!$B$2:$D$128,MATCH($A369,'4×+M'!$B$2:$B$128,),MATCH($B$367,'4×+M'!$B$2:$D$2,)),""))</f>
        <v>新居高校B</v>
      </c>
      <c r="C369" s="120"/>
      <c r="D369" s="399">
        <v>1</v>
      </c>
      <c r="F369" s="175"/>
      <c r="H369" s="400"/>
      <c r="I369" s="57"/>
      <c r="J369" s="57"/>
      <c r="K369" s="57"/>
      <c r="L369" s="400"/>
      <c r="M369" s="57"/>
      <c r="N369" s="58"/>
      <c r="P369" s="399">
        <v>1</v>
      </c>
      <c r="R369" s="175"/>
    </row>
    <row r="370" spans="1:18" s="22" customFormat="1" ht="14">
      <c r="B370" s="403" t="e">
        <f ca="1">IF(INDEX('１×Ｍ'!$B$50:$J$70,MATCH($A$149,'１×Ｍ'!$B$50:$B$70,),MATCH($B370,'１×Ｍ'!$B$50:$J$50,))&lt;&gt;"",INDEX('１×Ｍ'!$B$50:$J$70,MATCH($A$149,'１×Ｍ'!$B$50:$B$70,),MATCH($B370,'１×Ｍ'!$B$50:$J$50,)),"")</f>
        <v>#N/A</v>
      </c>
      <c r="C370" s="120"/>
      <c r="D370" s="399"/>
      <c r="E370" s="61"/>
      <c r="F370" s="58"/>
      <c r="H370" s="400"/>
      <c r="I370" s="57"/>
      <c r="J370" s="57"/>
      <c r="K370" s="57"/>
      <c r="L370" s="400"/>
      <c r="M370" s="57"/>
      <c r="N370" s="58"/>
      <c r="P370" s="399"/>
      <c r="Q370" s="59" t="s">
        <v>231</v>
      </c>
      <c r="R370" s="60"/>
    </row>
    <row r="371" spans="1:18" s="22" customFormat="1" ht="14">
      <c r="A371" s="22">
        <v>5</v>
      </c>
      <c r="B371" s="403" t="str">
        <f>IF(A371="","",IF(INDEX('4×+M'!$B$2:$D$128,MATCH($A371,'4×+M'!$B$2:$B$128,),MATCH($B$367,'4×+M'!$B$2:$D$2,))&lt;&gt;"",INDEX('4×+M'!$B$2:$D$128,MATCH($A371,'4×+M'!$B$2:$B$128,),MATCH($B$367,'4×+M'!$B$2:$D$2,)),""))</f>
        <v>浜松湖南高校</v>
      </c>
      <c r="C371" s="120"/>
      <c r="D371" s="399">
        <v>2</v>
      </c>
      <c r="E371" s="65"/>
      <c r="F371" s="58"/>
      <c r="H371" s="400"/>
      <c r="I371" s="57"/>
      <c r="J371" s="57"/>
      <c r="K371" s="57"/>
      <c r="L371" s="400"/>
      <c r="M371" s="57"/>
      <c r="N371" s="58"/>
      <c r="P371" s="399">
        <v>2</v>
      </c>
      <c r="Q371" s="62"/>
      <c r="R371" s="60"/>
    </row>
    <row r="372" spans="1:18" s="22" customFormat="1" ht="14">
      <c r="B372" s="403" t="e">
        <f ca="1">IF(INDEX('１×Ｍ'!$B$50:$J$70,MATCH($A$149,'１×Ｍ'!$B$50:$B$70,),MATCH($B372,'１×Ｍ'!$B$50:$J$50,))&lt;&gt;"",INDEX('１×Ｍ'!$B$50:$J$70,MATCH($A$149,'１×Ｍ'!$B$50:$B$70,),MATCH($B372,'１×Ｍ'!$B$50:$J$50,)),"")</f>
        <v>#N/A</v>
      </c>
      <c r="C372" s="120"/>
      <c r="D372" s="399"/>
      <c r="E372" s="61"/>
      <c r="F372" s="60"/>
      <c r="H372" s="400"/>
      <c r="I372" s="57"/>
      <c r="J372" s="57"/>
      <c r="K372" s="57"/>
      <c r="L372" s="400"/>
      <c r="M372" s="57"/>
      <c r="N372" s="58"/>
      <c r="P372" s="399"/>
      <c r="Q372" s="61" t="s">
        <v>838</v>
      </c>
      <c r="R372" s="60"/>
    </row>
    <row r="373" spans="1:18" s="22" customFormat="1" ht="14">
      <c r="A373" s="22">
        <v>1</v>
      </c>
      <c r="B373" s="403" t="str">
        <f>IF(A373="","",IF(INDEX('4×+M'!$B$2:$D$128,MATCH($A373,'4×+M'!$B$2:$B$128,),MATCH($B$367,'4×+M'!$B$2:$D$2,))&lt;&gt;"",INDEX('4×+M'!$B$2:$D$128,MATCH($A373,'4×+M'!$B$2:$B$128,),MATCH($B$367,'4×+M'!$B$2:$D$2,)),""))</f>
        <v>浜松西高校</v>
      </c>
      <c r="C373" s="120"/>
      <c r="D373" s="399">
        <v>3</v>
      </c>
      <c r="E373" s="57"/>
      <c r="F373" s="60"/>
      <c r="H373" s="400"/>
      <c r="I373" s="57"/>
      <c r="J373" s="57"/>
      <c r="K373" s="57"/>
      <c r="L373" s="400"/>
      <c r="M373" s="57"/>
      <c r="N373" s="58"/>
      <c r="P373" s="399">
        <v>3</v>
      </c>
      <c r="Q373" s="62"/>
      <c r="R373" s="63"/>
    </row>
    <row r="374" spans="1:18" s="22" customFormat="1" ht="14">
      <c r="B374" s="403" t="e">
        <f ca="1">IF(INDEX('１×Ｍ'!$B$50:$J$70,MATCH($A$149,'１×Ｍ'!$B$50:$B$70,),MATCH($B374,'１×Ｍ'!$B$50:$J$50,))&lt;&gt;"",INDEX('１×Ｍ'!$B$50:$J$70,MATCH($A$149,'１×Ｍ'!$B$50:$B$70,),MATCH($B374,'１×Ｍ'!$B$50:$J$50,)),"")</f>
        <v>#N/A</v>
      </c>
      <c r="C374" s="120"/>
      <c r="D374" s="399"/>
      <c r="E374" s="343"/>
      <c r="F374" s="60"/>
      <c r="H374" s="400"/>
      <c r="I374" s="57"/>
      <c r="J374" s="57"/>
      <c r="K374" s="57"/>
      <c r="L374" s="400"/>
      <c r="M374" s="57"/>
      <c r="N374" s="58"/>
      <c r="P374" s="399"/>
      <c r="Q374" s="343" t="s">
        <v>144</v>
      </c>
      <c r="R374" s="344"/>
    </row>
    <row r="375" spans="1:18" s="22" customFormat="1" ht="14">
      <c r="A375" s="22">
        <v>2</v>
      </c>
      <c r="B375" s="403" t="str">
        <f>IF(A375="","",IF(INDEX('4×+M'!$B$2:$D$128,MATCH($A375,'4×+M'!$B$2:$B$128,),MATCH($B$367,'4×+M'!$B$2:$D$2,))&lt;&gt;"",INDEX('4×+M'!$B$2:$D$128,MATCH($A375,'4×+M'!$B$2:$B$128,),MATCH($B$367,'4×+M'!$B$2:$D$2,)),""))</f>
        <v>新居高校A</v>
      </c>
      <c r="C375" s="120"/>
      <c r="D375" s="399">
        <v>4</v>
      </c>
      <c r="E375" s="62"/>
      <c r="F375" s="60"/>
      <c r="H375" s="400"/>
      <c r="I375" s="57"/>
      <c r="J375" s="57"/>
      <c r="K375" s="57"/>
      <c r="L375" s="400"/>
      <c r="M375" s="57"/>
      <c r="N375" s="58"/>
      <c r="P375" s="399">
        <v>4</v>
      </c>
      <c r="Q375" s="62"/>
      <c r="R375" s="63"/>
    </row>
    <row r="376" spans="1:18" s="22" customFormat="1" ht="14">
      <c r="B376" s="403" t="e">
        <f ca="1">IF(INDEX('１×Ｍ'!$B$50:$J$70,MATCH($A$149,'１×Ｍ'!$B$50:$B$70,),MATCH($B376,'１×Ｍ'!$B$50:$J$50,))&lt;&gt;"",INDEX('１×Ｍ'!$B$50:$J$70,MATCH($A$149,'１×Ｍ'!$B$50:$B$70,),MATCH($B376,'１×Ｍ'!$B$50:$J$50,)),"")</f>
        <v>#N/A</v>
      </c>
      <c r="C376" s="120"/>
      <c r="D376" s="399"/>
      <c r="E376" s="61"/>
      <c r="F376" s="58"/>
      <c r="H376" s="400"/>
      <c r="I376" s="57"/>
      <c r="J376" s="57"/>
      <c r="K376" s="57"/>
      <c r="L376" s="400"/>
      <c r="M376" s="57"/>
      <c r="N376" s="58"/>
      <c r="P376" s="399"/>
      <c r="Q376" s="61" t="s">
        <v>145</v>
      </c>
    </row>
    <row r="377" spans="1:18" s="22" customFormat="1" ht="14">
      <c r="A377" s="22">
        <v>4</v>
      </c>
      <c r="B377" s="403" t="str">
        <f>IF(A377="","",IF(INDEX('4×+M'!$B$2:$D$128,MATCH($A377,'4×+M'!$B$2:$B$128,),MATCH($B$367,'4×+M'!$B$2:$D$2,))&lt;&gt;"",INDEX('4×+M'!$B$2:$D$128,MATCH($A377,'4×+M'!$B$2:$B$128,),MATCH($B$367,'4×+M'!$B$2:$D$2,)),""))</f>
        <v>沼津東高校</v>
      </c>
      <c r="C377" s="120"/>
      <c r="D377" s="399">
        <v>5</v>
      </c>
      <c r="E377" s="65"/>
      <c r="F377" s="58"/>
      <c r="H377" s="400"/>
      <c r="I377" s="57"/>
      <c r="J377" s="57"/>
      <c r="K377" s="57"/>
      <c r="L377" s="400"/>
      <c r="M377" s="57"/>
      <c r="N377" s="58"/>
      <c r="P377" s="399">
        <v>5</v>
      </c>
      <c r="Q377" s="62"/>
    </row>
    <row r="378" spans="1:18" s="22" customFormat="1" ht="14">
      <c r="B378" s="403" t="e">
        <f ca="1">IF(INDEX('１×Ｍ'!$B$50:$J$70,MATCH($A$149,'１×Ｍ'!$B$50:$B$70,),MATCH($B378,'１×Ｍ'!$B$50:$J$50,))&lt;&gt;"",INDEX('１×Ｍ'!$B$50:$J$70,MATCH($A$149,'１×Ｍ'!$B$50:$B$70,),MATCH($B378,'１×Ｍ'!$B$50:$J$50,)),"")</f>
        <v>#N/A</v>
      </c>
      <c r="C378" s="120"/>
      <c r="D378" s="399"/>
      <c r="E378" s="57"/>
      <c r="F378" s="175"/>
      <c r="H378" s="400"/>
      <c r="I378" s="57"/>
      <c r="J378" s="57"/>
      <c r="K378" s="57"/>
      <c r="L378" s="400"/>
      <c r="M378" s="57"/>
      <c r="N378" s="58"/>
      <c r="P378" s="399"/>
      <c r="Q378" s="343" t="s">
        <v>385</v>
      </c>
      <c r="R378" s="57"/>
    </row>
    <row r="379" spans="1:18" s="22" customFormat="1" ht="14">
      <c r="B379" s="403" t="str">
        <f>IF(A379="","",IF(INDEX('4×+M'!$B$2:$D$128,MATCH($A379,'4×+M'!$B$2:$B$128,),MATCH($B$367,'4×+M'!$B$2:$D$2,))&lt;&gt;"",INDEX('4×+M'!$B$2:$D$128,MATCH($A379,'4×+M'!$B$2:$B$128,),MATCH($B$367,'4×+M'!$B$2:$D$2,)),""))</f>
        <v/>
      </c>
      <c r="C379" s="123"/>
      <c r="D379" s="399"/>
      <c r="F379" s="175"/>
      <c r="H379" s="400"/>
      <c r="I379" s="57"/>
      <c r="J379" s="57"/>
      <c r="K379" s="57"/>
      <c r="L379" s="400"/>
      <c r="M379" s="57"/>
      <c r="N379" s="58"/>
      <c r="P379" s="399"/>
      <c r="Q379" s="57"/>
      <c r="R379" s="57"/>
    </row>
    <row r="380" spans="1:18" s="22" customFormat="1" ht="14">
      <c r="B380" s="403" t="e">
        <f ca="1">IF(INDEX('１×Ｍ'!$B$50:$J$70,MATCH($A$149,'１×Ｍ'!$B$50:$B$70,),MATCH($B380,'１×Ｍ'!$B$50:$J$50,))&lt;&gt;"",INDEX('１×Ｍ'!$B$50:$J$70,MATCH($A$149,'１×Ｍ'!$B$50:$B$70,),MATCH($B380,'１×Ｍ'!$B$50:$J$50,)),"")</f>
        <v>#N/A</v>
      </c>
      <c r="C380" s="123"/>
      <c r="D380" s="399"/>
      <c r="E380" s="57"/>
      <c r="F380" s="175"/>
      <c r="H380" s="400"/>
      <c r="I380" s="57"/>
      <c r="J380" s="57"/>
      <c r="K380" s="57"/>
      <c r="L380" s="400"/>
      <c r="M380" s="57"/>
      <c r="N380" s="58"/>
      <c r="P380" s="399"/>
      <c r="Q380" s="57"/>
    </row>
    <row r="381" spans="1:18" s="22" customFormat="1" ht="14" hidden="1">
      <c r="B381" s="111"/>
      <c r="C381" s="52"/>
      <c r="D381" s="173"/>
      <c r="F381" s="175"/>
      <c r="H381" s="352"/>
      <c r="I381" s="57"/>
      <c r="J381" s="57"/>
      <c r="K381" s="55"/>
      <c r="L381" s="57"/>
      <c r="M381" s="57"/>
      <c r="N381" s="105"/>
      <c r="P381" s="55"/>
      <c r="Q381" s="55"/>
      <c r="R381" s="55"/>
    </row>
    <row r="382" spans="1:18" s="22" customFormat="1" ht="14" hidden="1">
      <c r="B382" s="111"/>
      <c r="C382" s="52"/>
      <c r="D382" s="52"/>
      <c r="F382" s="52">
        <f>F367+1</f>
        <v>20</v>
      </c>
      <c r="H382" s="356"/>
      <c r="I382" s="57"/>
      <c r="J382" s="105"/>
      <c r="K382" s="58"/>
      <c r="L382" s="57"/>
      <c r="M382" s="57"/>
      <c r="N382" s="105"/>
      <c r="P382" s="57"/>
      <c r="Q382" s="172"/>
      <c r="R382" s="105"/>
    </row>
    <row r="383" spans="1:18" s="22" customFormat="1" ht="14" hidden="1">
      <c r="B383" s="111"/>
      <c r="C383" s="120"/>
      <c r="D383" s="52"/>
      <c r="E383" s="22" t="s">
        <v>85</v>
      </c>
      <c r="F383" s="174">
        <f>VLOOKUP(F382,競漕日程!$A$4:$D$41,2)</f>
        <v>0.625</v>
      </c>
      <c r="H383" s="55"/>
      <c r="I383" s="57"/>
      <c r="J383" s="69"/>
      <c r="K383" s="57"/>
      <c r="L383" s="57"/>
      <c r="M383" s="57"/>
      <c r="N383" s="69"/>
      <c r="O383" s="180"/>
      <c r="P383" s="57"/>
      <c r="Q383" s="57"/>
      <c r="R383" s="69"/>
    </row>
    <row r="384" spans="1:18" s="22" customFormat="1" ht="14" hidden="1">
      <c r="B384" s="403" t="str">
        <f>IF(A384="","",IF(INDEX('4×+M'!$B$2:$D$128,MATCH($A384,'4×+M'!$B$2:$B$128,),MATCH($B$367,'4×+M'!$B$2:$D$2,))&lt;&gt;"",INDEX('4×+M'!$B$2:$D$128,MATCH($A384,'4×+M'!$B$2:$B$128,),MATCH($B$367,'4×+M'!$B$2:$D$2,)),""))</f>
        <v/>
      </c>
      <c r="C384" s="120"/>
      <c r="D384" s="399"/>
      <c r="F384" s="175"/>
      <c r="H384" s="400"/>
      <c r="I384" s="57"/>
      <c r="J384" s="58"/>
      <c r="K384" s="57"/>
      <c r="L384" s="400"/>
      <c r="M384" s="57"/>
      <c r="N384" s="58"/>
      <c r="O384" s="180"/>
      <c r="P384" s="400"/>
      <c r="Q384" s="57"/>
      <c r="R384" s="58"/>
    </row>
    <row r="385" spans="1:18" s="22" customFormat="1" ht="14" hidden="1">
      <c r="B385" s="403" t="e">
        <f ca="1">IF(INDEX('１×Ｍ'!$B$50:$J$70,MATCH($A$149,'１×Ｍ'!$B$50:$B$70,),MATCH($B385,'１×Ｍ'!$B$50:$J$50,))&lt;&gt;"",INDEX('１×Ｍ'!$B$50:$J$70,MATCH($A$149,'１×Ｍ'!$B$50:$B$70,),MATCH($B385,'１×Ｍ'!$B$50:$J$50,)),"")</f>
        <v>#N/A</v>
      </c>
      <c r="C385" s="120"/>
      <c r="D385" s="399"/>
      <c r="E385" s="57"/>
      <c r="F385" s="58"/>
      <c r="H385" s="400"/>
      <c r="I385" s="57"/>
      <c r="J385" s="58"/>
      <c r="K385" s="57"/>
      <c r="L385" s="400"/>
      <c r="M385" s="57"/>
      <c r="N385" s="58"/>
      <c r="O385" s="180"/>
      <c r="P385" s="400"/>
      <c r="Q385" s="57"/>
      <c r="R385" s="58"/>
    </row>
    <row r="386" spans="1:18" s="22" customFormat="1" ht="14" hidden="1">
      <c r="A386" s="22">
        <v>2</v>
      </c>
      <c r="B386" s="403" t="str">
        <f>IF(A386="","",IF(INDEX('4×+M'!$B$2:$D$128,MATCH($A386,'4×+M'!$B$2:$B$128,),MATCH($B$367,'4×+M'!$B$2:$D$2,))&lt;&gt;"",INDEX('4×+M'!$B$2:$D$128,MATCH($A386,'4×+M'!$B$2:$B$128,),MATCH($B$367,'4×+M'!$B$2:$D$2,)),""))</f>
        <v>新居高校A</v>
      </c>
      <c r="C386" s="120"/>
      <c r="D386" s="399">
        <v>2</v>
      </c>
      <c r="E386" s="72"/>
      <c r="F386" s="58"/>
      <c r="H386" s="400"/>
      <c r="I386" s="57"/>
      <c r="J386" s="58"/>
      <c r="K386" s="57"/>
      <c r="L386" s="400"/>
      <c r="M386" s="57"/>
      <c r="N386" s="58"/>
      <c r="O386" s="180"/>
      <c r="P386" s="400"/>
      <c r="Q386" s="57"/>
      <c r="R386" s="58"/>
    </row>
    <row r="387" spans="1:18" s="22" customFormat="1" ht="14" hidden="1">
      <c r="B387" s="403" t="e">
        <f ca="1">IF(INDEX('１×Ｍ'!$B$50:$J$70,MATCH($A$149,'１×Ｍ'!$B$50:$B$70,),MATCH($B387,'１×Ｍ'!$B$50:$J$50,))&lt;&gt;"",INDEX('１×Ｍ'!$B$50:$J$70,MATCH($A$149,'１×Ｍ'!$B$50:$B$70,),MATCH($B387,'１×Ｍ'!$B$50:$J$50,)),"")</f>
        <v>#N/A</v>
      </c>
      <c r="C387" s="120"/>
      <c r="D387" s="399"/>
      <c r="E387" s="61"/>
      <c r="F387" s="58"/>
      <c r="H387" s="400"/>
      <c r="I387" s="57"/>
      <c r="J387" s="58"/>
      <c r="K387" s="57"/>
      <c r="L387" s="400"/>
      <c r="M387" s="57"/>
      <c r="N387" s="58"/>
      <c r="O387" s="180"/>
      <c r="P387" s="400"/>
      <c r="Q387" s="57"/>
      <c r="R387" s="58"/>
    </row>
    <row r="388" spans="1:18" s="22" customFormat="1" ht="14" hidden="1">
      <c r="A388" s="22">
        <v>4</v>
      </c>
      <c r="B388" s="403" t="str">
        <f>IF(A388="","",IF(INDEX('4×+M'!$B$2:$D$128,MATCH($A388,'4×+M'!$B$2:$B$128,),MATCH($B$367,'4×+M'!$B$2:$D$2,))&lt;&gt;"",INDEX('4×+M'!$B$2:$D$128,MATCH($A388,'4×+M'!$B$2:$B$128,),MATCH($B$367,'4×+M'!$B$2:$D$2,)),""))</f>
        <v>沼津東高校</v>
      </c>
      <c r="C388" s="120"/>
      <c r="D388" s="399">
        <v>3</v>
      </c>
      <c r="E388" s="62"/>
      <c r="F388" s="60"/>
      <c r="H388" s="400"/>
      <c r="I388" s="57"/>
      <c r="J388" s="58"/>
      <c r="K388" s="57"/>
      <c r="L388" s="400"/>
      <c r="M388" s="57"/>
      <c r="N388" s="58"/>
      <c r="O388" s="180"/>
      <c r="P388" s="400"/>
      <c r="Q388" s="57"/>
      <c r="R388" s="57"/>
    </row>
    <row r="389" spans="1:18" s="22" customFormat="1" ht="14" hidden="1">
      <c r="B389" s="403" t="e">
        <f ca="1">IF(INDEX('１×Ｍ'!$B$50:$J$70,MATCH($A$149,'１×Ｍ'!$B$50:$B$70,),MATCH($B389,'１×Ｍ'!$B$50:$J$50,))&lt;&gt;"",INDEX('１×Ｍ'!$B$50:$J$70,MATCH($A$149,'１×Ｍ'!$B$50:$B$70,),MATCH($B389,'１×Ｍ'!$B$50:$J$50,)),"")</f>
        <v>#N/A</v>
      </c>
      <c r="C389" s="120"/>
      <c r="D389" s="399"/>
      <c r="E389" s="61"/>
      <c r="F389" s="73"/>
      <c r="H389" s="400"/>
      <c r="I389" s="57"/>
      <c r="J389" s="58"/>
      <c r="K389" s="57"/>
      <c r="L389" s="400"/>
      <c r="M389" s="57"/>
      <c r="N389" s="58"/>
      <c r="O389" s="180"/>
      <c r="P389" s="400"/>
      <c r="Q389" s="57"/>
      <c r="R389" s="57"/>
    </row>
    <row r="390" spans="1:18" s="22" customFormat="1" ht="14" hidden="1">
      <c r="A390" s="22">
        <v>8</v>
      </c>
      <c r="B390" s="403" t="str">
        <f>IF(A390="","",IF(INDEX('4×+M'!$B$2:$D$128,MATCH($A390,'4×+M'!$B$2:$B$128,),MATCH($B$367,'4×+M'!$B$2:$D$2,))&lt;&gt;"",INDEX('4×+M'!$B$2:$D$128,MATCH($A390,'4×+M'!$B$2:$B$128,),MATCH($B$367,'4×+M'!$B$2:$D$2,)),""))</f>
        <v/>
      </c>
      <c r="C390" s="120"/>
      <c r="D390" s="399">
        <v>4</v>
      </c>
      <c r="E390" s="62"/>
      <c r="F390" s="171"/>
      <c r="H390" s="400"/>
      <c r="I390" s="57"/>
      <c r="J390" s="58"/>
      <c r="K390" s="57"/>
      <c r="L390" s="400"/>
      <c r="M390" s="57"/>
      <c r="N390" s="58"/>
      <c r="O390" s="180"/>
      <c r="P390" s="400"/>
      <c r="Q390" s="57"/>
      <c r="R390" s="57"/>
    </row>
    <row r="391" spans="1:18" s="22" customFormat="1" ht="14" hidden="1">
      <c r="B391" s="403" t="e">
        <f ca="1">IF(INDEX('１×Ｍ'!$B$50:$J$70,MATCH($A$149,'１×Ｍ'!$B$50:$B$70,),MATCH($B391,'１×Ｍ'!$B$50:$J$50,))&lt;&gt;"",INDEX('１×Ｍ'!$B$50:$J$70,MATCH($A$149,'１×Ｍ'!$B$50:$B$70,),MATCH($B391,'１×Ｍ'!$B$50:$J$50,)),"")</f>
        <v>#N/A</v>
      </c>
      <c r="C391" s="122"/>
      <c r="D391" s="399"/>
      <c r="E391" s="61"/>
      <c r="F391" s="60"/>
      <c r="H391" s="400"/>
      <c r="I391" s="57"/>
      <c r="J391" s="58"/>
      <c r="K391" s="57"/>
      <c r="L391" s="400"/>
      <c r="M391" s="57"/>
      <c r="N391" s="58"/>
      <c r="O391" s="180"/>
      <c r="P391" s="400"/>
      <c r="Q391" s="57"/>
      <c r="R391" s="57"/>
    </row>
    <row r="392" spans="1:18" s="22" customFormat="1" ht="14" hidden="1">
      <c r="A392" s="22">
        <v>3</v>
      </c>
      <c r="B392" s="403" t="str">
        <f>IF(A392="","",IF(INDEX('4×+M'!$B$2:$D$128,MATCH($A392,'4×+M'!$B$2:$B$128,),MATCH($B$367,'4×+M'!$B$2:$D$2,))&lt;&gt;"",INDEX('4×+M'!$B$2:$D$128,MATCH($A392,'4×+M'!$B$2:$B$128,),MATCH($B$367,'4×+M'!$B$2:$D$2,)),""))</f>
        <v>新居高校B</v>
      </c>
      <c r="C392" s="122"/>
      <c r="D392" s="399">
        <v>5</v>
      </c>
      <c r="E392" s="65"/>
      <c r="F392" s="60"/>
      <c r="H392" s="400"/>
      <c r="I392" s="57"/>
      <c r="J392" s="58"/>
      <c r="K392" s="57"/>
      <c r="L392" s="400"/>
      <c r="M392" s="57"/>
      <c r="N392" s="58"/>
      <c r="P392" s="400"/>
      <c r="Q392" s="57"/>
      <c r="R392" s="57"/>
    </row>
    <row r="393" spans="1:18" s="22" customFormat="1" ht="14" hidden="1">
      <c r="B393" s="403" t="e">
        <f ca="1">IF(INDEX('１×Ｍ'!$B$50:$J$70,MATCH($A$149,'１×Ｍ'!$B$50:$B$70,),MATCH($B393,'１×Ｍ'!$B$50:$J$50,))&lt;&gt;"",INDEX('１×Ｍ'!$B$50:$J$70,MATCH($A$149,'１×Ｍ'!$B$50:$B$70,),MATCH($B393,'１×Ｍ'!$B$50:$J$50,)),"")</f>
        <v>#N/A</v>
      </c>
      <c r="C393" s="122"/>
      <c r="D393" s="399"/>
      <c r="E393" s="59"/>
      <c r="F393" s="175"/>
      <c r="H393" s="400"/>
      <c r="I393" s="57"/>
      <c r="J393" s="58"/>
      <c r="K393" s="57"/>
      <c r="L393" s="400"/>
      <c r="M393" s="57"/>
      <c r="N393" s="58"/>
      <c r="P393" s="400"/>
      <c r="Q393" s="57"/>
      <c r="R393" s="57"/>
    </row>
    <row r="394" spans="1:18" s="22" customFormat="1" ht="14" hidden="1">
      <c r="B394" s="403" t="str">
        <f>IF(A394="","",IF(INDEX('4×+M'!$B$2:$D$128,MATCH($A394,'4×+M'!$B$2:$B$128,),MATCH($B$367,'4×+M'!$B$2:$D$2,))&lt;&gt;"",INDEX('4×+M'!$B$2:$D$128,MATCH($A394,'4×+M'!$B$2:$B$128,),MATCH($B$367,'4×+M'!$B$2:$D$2,)),""))</f>
        <v/>
      </c>
      <c r="C394" s="122"/>
      <c r="D394" s="399"/>
      <c r="E394" s="57"/>
      <c r="F394" s="175"/>
      <c r="H394" s="400"/>
      <c r="I394" s="57"/>
      <c r="J394" s="58"/>
      <c r="K394" s="57"/>
      <c r="L394" s="399"/>
      <c r="M394" s="57"/>
      <c r="N394" s="58"/>
      <c r="P394" s="400"/>
      <c r="Q394" s="57"/>
      <c r="R394" s="57"/>
    </row>
    <row r="395" spans="1:18" s="22" customFormat="1" ht="14" hidden="1">
      <c r="B395" s="403" t="e">
        <f ca="1">IF(INDEX('１×Ｍ'!$B$50:$J$70,MATCH($A$149,'１×Ｍ'!$B$50:$B$70,),MATCH($B395,'１×Ｍ'!$B$50:$J$50,))&lt;&gt;"",INDEX('１×Ｍ'!$B$50:$J$70,MATCH($A$149,'１×Ｍ'!$B$50:$B$70,),MATCH($B395,'１×Ｍ'!$B$50:$J$50,)),"")</f>
        <v>#N/A</v>
      </c>
      <c r="C395" s="122"/>
      <c r="D395" s="399"/>
      <c r="F395" s="175"/>
      <c r="H395" s="400"/>
      <c r="I395" s="57"/>
      <c r="J395" s="58"/>
      <c r="K395" s="57"/>
      <c r="L395" s="399"/>
      <c r="N395" s="175"/>
      <c r="P395" s="400"/>
      <c r="Q395" s="57"/>
      <c r="R395" s="57"/>
    </row>
    <row r="396" spans="1:18" s="22" customFormat="1" ht="14" hidden="1">
      <c r="B396" s="112"/>
      <c r="C396" s="52"/>
      <c r="D396" s="173"/>
      <c r="F396" s="175"/>
      <c r="H396" s="168"/>
      <c r="I396" s="57"/>
      <c r="J396" s="57"/>
      <c r="K396" s="57"/>
      <c r="L396" s="178"/>
      <c r="P396" s="177"/>
      <c r="Q396" s="55"/>
      <c r="R396" s="57"/>
    </row>
    <row r="397" spans="1:18" s="22" customFormat="1" ht="14" hidden="1">
      <c r="B397" s="112"/>
      <c r="C397" s="120"/>
      <c r="D397" s="52"/>
      <c r="F397" s="52">
        <f>F382+1</f>
        <v>21</v>
      </c>
      <c r="H397" s="352"/>
      <c r="I397" s="57"/>
      <c r="J397" s="57"/>
      <c r="K397" s="57"/>
      <c r="L397" s="71"/>
      <c r="M397" s="71"/>
      <c r="N397" s="52"/>
      <c r="P397" s="57"/>
      <c r="Q397" s="55"/>
      <c r="R397" s="69"/>
    </row>
    <row r="398" spans="1:18" s="22" customFormat="1" ht="14" hidden="1">
      <c r="B398" s="111"/>
      <c r="C398" s="120"/>
      <c r="D398" s="52"/>
      <c r="E398" s="22" t="s">
        <v>86</v>
      </c>
      <c r="F398" s="174" t="e">
        <f>VLOOKUP(F397,#REF!,2)</f>
        <v>#REF!</v>
      </c>
      <c r="H398" s="57"/>
      <c r="I398" s="57"/>
      <c r="J398" s="105"/>
      <c r="K398" s="359"/>
      <c r="N398" s="68"/>
      <c r="O398" s="180"/>
      <c r="P398" s="168"/>
      <c r="Q398" s="55"/>
      <c r="R398" s="105"/>
    </row>
    <row r="399" spans="1:18" s="22" customFormat="1" ht="14" hidden="1">
      <c r="B399" s="403" t="str">
        <f>IF(A399="","",IF(INDEX('4×+M'!$B$2:$D$128,MATCH($A399,'4×+M'!$B$2:$B$128,),MATCH($B$367,'4×+M'!$B$2:$D$2,))&lt;&gt;"",INDEX('4×+M'!$B$2:$D$128,MATCH($A399,'4×+M'!$B$2:$B$128,),MATCH($B$367,'4×+M'!$B$2:$D$2,)),""))</f>
        <v/>
      </c>
      <c r="C399" s="120"/>
      <c r="D399" s="399"/>
      <c r="F399" s="175"/>
      <c r="H399" s="57"/>
      <c r="I399" s="57"/>
      <c r="J399" s="359"/>
      <c r="K399" s="55"/>
      <c r="L399" s="173"/>
      <c r="M399" s="180"/>
      <c r="N399" s="180"/>
      <c r="O399" s="180"/>
      <c r="P399" s="168"/>
      <c r="Q399" s="55"/>
      <c r="R399" s="69"/>
    </row>
    <row r="400" spans="1:18" s="22" customFormat="1" ht="14" hidden="1">
      <c r="B400" s="403" t="e">
        <f ca="1">IF(INDEX('１×Ｍ'!$B$50:$J$70,MATCH($A$149,'１×Ｍ'!$B$50:$B$70,),MATCH($B400,'１×Ｍ'!$B$50:$J$50,))&lt;&gt;"",INDEX('１×Ｍ'!$B$50:$J$70,MATCH($A$149,'１×Ｍ'!$B$50:$B$70,),MATCH($B400,'１×Ｍ'!$B$50:$J$50,)),"")</f>
        <v>#N/A</v>
      </c>
      <c r="C400" s="120"/>
      <c r="D400" s="399"/>
      <c r="E400" s="57"/>
      <c r="F400" s="58"/>
      <c r="H400" s="168"/>
      <c r="I400" s="55"/>
      <c r="J400" s="55"/>
      <c r="K400" s="55"/>
      <c r="L400" s="173"/>
      <c r="M400" s="55"/>
      <c r="N400" s="55"/>
      <c r="O400" s="180"/>
      <c r="P400" s="400"/>
      <c r="Q400" s="57"/>
      <c r="R400" s="58"/>
    </row>
    <row r="401" spans="2:18" s="22" customFormat="1" ht="14" hidden="1">
      <c r="B401" s="403" t="str">
        <f>IF(A401="","",IF(INDEX('4×+M'!$B$2:$D$128,MATCH($A401,'4×+M'!$B$2:$B$128,),MATCH($B$367,'4×+M'!$B$2:$D$2,))&lt;&gt;"",INDEX('4×+M'!$B$2:$D$128,MATCH($A401,'4×+M'!$B$2:$B$128,),MATCH($B$367,'4×+M'!$B$2:$D$2,)),""))</f>
        <v/>
      </c>
      <c r="C401" s="120"/>
      <c r="D401" s="399">
        <v>2</v>
      </c>
      <c r="E401" s="72"/>
      <c r="F401" s="58"/>
      <c r="H401" s="168"/>
      <c r="I401" s="168"/>
      <c r="J401" s="55"/>
      <c r="K401" s="55"/>
      <c r="L401" s="173"/>
      <c r="M401" s="55"/>
      <c r="N401" s="55"/>
      <c r="O401" s="180"/>
      <c r="P401" s="400"/>
      <c r="Q401" s="57"/>
      <c r="R401" s="58"/>
    </row>
    <row r="402" spans="2:18" s="22" customFormat="1" ht="14" hidden="1">
      <c r="B402" s="403" t="e">
        <f ca="1">IF(INDEX('１×Ｍ'!$B$50:$J$70,MATCH($A$149,'１×Ｍ'!$B$50:$B$70,),MATCH($B402,'１×Ｍ'!$B$50:$J$50,))&lt;&gt;"",INDEX('１×Ｍ'!$B$50:$J$70,MATCH($A$149,'１×Ｍ'!$B$50:$B$70,),MATCH($B402,'１×Ｍ'!$B$50:$J$50,)),"")</f>
        <v>#N/A</v>
      </c>
      <c r="C402" s="120"/>
      <c r="D402" s="399"/>
      <c r="E402" s="61"/>
      <c r="F402" s="60"/>
      <c r="H402" s="168"/>
      <c r="I402" s="168"/>
      <c r="J402" s="55"/>
      <c r="K402" s="55"/>
      <c r="L402" s="173"/>
      <c r="M402" s="55"/>
      <c r="N402" s="55"/>
      <c r="O402" s="180"/>
      <c r="P402" s="400"/>
      <c r="Q402" s="57"/>
      <c r="R402" s="58"/>
    </row>
    <row r="403" spans="2:18" s="22" customFormat="1" ht="14" hidden="1">
      <c r="B403" s="403" t="str">
        <f>IF(A403="","",IF(INDEX('4×+M'!$B$2:$D$128,MATCH($A403,'4×+M'!$B$2:$B$128,),MATCH($B$367,'4×+M'!$B$2:$D$2,))&lt;&gt;"",INDEX('4×+M'!$B$2:$D$128,MATCH($A403,'4×+M'!$B$2:$B$128,),MATCH($B$367,'4×+M'!$B$2:$D$2,)),""))</f>
        <v/>
      </c>
      <c r="C403" s="120"/>
      <c r="D403" s="399">
        <v>3</v>
      </c>
      <c r="E403" s="62"/>
      <c r="F403" s="60"/>
      <c r="H403" s="168"/>
      <c r="I403" s="168"/>
      <c r="J403" s="55"/>
      <c r="K403" s="55"/>
      <c r="L403" s="173"/>
      <c r="M403" s="55"/>
      <c r="N403" s="55"/>
      <c r="O403" s="180"/>
      <c r="P403" s="400"/>
      <c r="Q403" s="57"/>
      <c r="R403" s="58"/>
    </row>
    <row r="404" spans="2:18" s="22" customFormat="1" ht="14" hidden="1">
      <c r="B404" s="403" t="e">
        <f ca="1">IF(INDEX('１×Ｍ'!$B$50:$J$70,MATCH($A$149,'１×Ｍ'!$B$50:$B$70,),MATCH($B404,'１×Ｍ'!$B$50:$J$50,))&lt;&gt;"",INDEX('１×Ｍ'!$B$50:$J$70,MATCH($A$149,'１×Ｍ'!$B$50:$B$70,),MATCH($B404,'１×Ｍ'!$B$50:$J$50,)),"")</f>
        <v>#N/A</v>
      </c>
      <c r="C404" s="120"/>
      <c r="D404" s="399"/>
      <c r="E404" s="61"/>
      <c r="F404" s="73"/>
      <c r="H404" s="168"/>
      <c r="I404" s="168"/>
      <c r="J404" s="55"/>
      <c r="K404" s="55"/>
      <c r="L404" s="173"/>
      <c r="M404" s="55"/>
      <c r="N404" s="55"/>
      <c r="O404" s="180"/>
      <c r="P404" s="400"/>
      <c r="Q404" s="57"/>
      <c r="R404" s="58"/>
    </row>
    <row r="405" spans="2:18" s="22" customFormat="1" ht="14" hidden="1">
      <c r="B405" s="403" t="str">
        <f>IF(A405="","",IF(INDEX('4×+M'!$B$2:$D$128,MATCH($A405,'4×+M'!$B$2:$B$128,),MATCH($B$367,'4×+M'!$B$2:$D$2,))&lt;&gt;"",INDEX('4×+M'!$B$2:$D$128,MATCH($A405,'4×+M'!$B$2:$B$128,),MATCH($B$367,'4×+M'!$B$2:$D$2,)),""))</f>
        <v/>
      </c>
      <c r="C405" s="122"/>
      <c r="D405" s="399">
        <v>4</v>
      </c>
      <c r="E405" s="62"/>
      <c r="F405" s="171"/>
      <c r="H405" s="168"/>
      <c r="I405" s="55"/>
      <c r="J405" s="55"/>
      <c r="K405" s="55"/>
      <c r="L405" s="173"/>
      <c r="M405" s="55"/>
      <c r="N405" s="55"/>
      <c r="O405" s="180"/>
      <c r="P405" s="400"/>
      <c r="Q405" s="57"/>
      <c r="R405" s="58"/>
    </row>
    <row r="406" spans="2:18" s="22" customFormat="1" ht="14" hidden="1">
      <c r="B406" s="403" t="e">
        <f ca="1">IF(INDEX('１×Ｍ'!$B$50:$J$70,MATCH($A$149,'１×Ｍ'!$B$50:$B$70,),MATCH($B406,'１×Ｍ'!$B$50:$J$50,))&lt;&gt;"",INDEX('１×Ｍ'!$B$50:$J$70,MATCH($A$149,'１×Ｍ'!$B$50:$B$70,),MATCH($B406,'１×Ｍ'!$B$50:$J$50,)),"")</f>
        <v>#N/A</v>
      </c>
      <c r="C406" s="122"/>
      <c r="D406" s="399"/>
      <c r="E406" s="61"/>
      <c r="F406" s="60"/>
      <c r="H406" s="168"/>
      <c r="I406" s="55"/>
      <c r="J406" s="55"/>
      <c r="K406" s="55"/>
      <c r="L406" s="173"/>
      <c r="M406" s="55"/>
      <c r="N406" s="55"/>
      <c r="O406" s="180"/>
      <c r="P406" s="400"/>
      <c r="Q406" s="57"/>
      <c r="R406" s="58"/>
    </row>
    <row r="407" spans="2:18" s="22" customFormat="1" ht="14" hidden="1">
      <c r="B407" s="403" t="str">
        <f>IF(A407="","",IF(INDEX('4×+M'!$B$2:$D$128,MATCH($A407,'4×+M'!$B$2:$B$128,),MATCH($B$367,'4×+M'!$B$2:$D$2,))&lt;&gt;"",INDEX('4×+M'!$B$2:$D$128,MATCH($A407,'4×+M'!$B$2:$B$128,),MATCH($B$367,'4×+M'!$B$2:$D$2,)),""))</f>
        <v/>
      </c>
      <c r="C407" s="122"/>
      <c r="D407" s="399">
        <v>5</v>
      </c>
      <c r="E407" s="65"/>
      <c r="F407" s="58"/>
      <c r="H407" s="168"/>
      <c r="I407" s="57"/>
      <c r="J407" s="55"/>
      <c r="K407" s="57"/>
      <c r="L407" s="177"/>
      <c r="M407" s="57"/>
      <c r="N407" s="57"/>
      <c r="P407" s="400"/>
      <c r="Q407" s="57"/>
      <c r="R407" s="58"/>
    </row>
    <row r="408" spans="2:18" s="22" customFormat="1" ht="14" hidden="1">
      <c r="B408" s="403" t="e">
        <f ca="1">IF(INDEX('１×Ｍ'!$B$50:$J$70,MATCH($A$149,'１×Ｍ'!$B$50:$B$70,),MATCH($B408,'１×Ｍ'!$B$50:$J$50,))&lt;&gt;"",INDEX('１×Ｍ'!$B$50:$J$70,MATCH($A$149,'１×Ｍ'!$B$50:$B$70,),MATCH($B408,'１×Ｍ'!$B$50:$J$50,)),"")</f>
        <v>#N/A</v>
      </c>
      <c r="C408" s="105"/>
      <c r="D408" s="399"/>
      <c r="E408" s="57"/>
      <c r="F408" s="58"/>
      <c r="H408" s="352"/>
      <c r="I408" s="57"/>
      <c r="J408" s="57"/>
      <c r="K408" s="57"/>
      <c r="L408" s="177"/>
      <c r="M408" s="57"/>
      <c r="N408" s="57"/>
      <c r="P408" s="400"/>
      <c r="Q408" s="57"/>
      <c r="R408" s="58"/>
    </row>
    <row r="409" spans="2:18" s="22" customFormat="1" ht="14" hidden="1">
      <c r="B409" s="403" t="str">
        <f>IF(A409="","",IF(INDEX('4×+M'!$B$2:$D$128,MATCH($A409,'4×+M'!$B$2:$B$128,),MATCH($B$367,'4×+M'!$B$2:$D$2,))&lt;&gt;"",INDEX('4×+M'!$B$2:$D$128,MATCH($A409,'4×+M'!$B$2:$B$128,),MATCH($B$367,'4×+M'!$B$2:$D$2,)),""))</f>
        <v/>
      </c>
      <c r="C409" s="105"/>
      <c r="D409" s="399"/>
      <c r="F409" s="58"/>
      <c r="H409" s="352"/>
      <c r="I409" s="57"/>
      <c r="J409" s="57"/>
      <c r="K409" s="57"/>
      <c r="L409" s="177"/>
      <c r="M409" s="57"/>
      <c r="N409" s="57"/>
      <c r="P409" s="400"/>
      <c r="Q409" s="57"/>
      <c r="R409" s="58"/>
    </row>
    <row r="410" spans="2:18" s="22" customFormat="1" ht="14" hidden="1">
      <c r="B410" s="403" t="e">
        <f ca="1">IF(INDEX('１×Ｍ'!$B$50:$J$70,MATCH($A$149,'１×Ｍ'!$B$50:$B$70,),MATCH($B410,'１×Ｍ'!$B$50:$J$50,))&lt;&gt;"",INDEX('１×Ｍ'!$B$50:$J$70,MATCH($A$149,'１×Ｍ'!$B$50:$B$70,),MATCH($B410,'１×Ｍ'!$B$50:$J$50,)),"")</f>
        <v>#N/A</v>
      </c>
      <c r="C410" s="50"/>
      <c r="D410" s="399"/>
      <c r="E410" s="57"/>
      <c r="F410" s="58"/>
      <c r="H410" s="352"/>
      <c r="I410" s="57"/>
      <c r="J410" s="57"/>
      <c r="K410" s="57"/>
      <c r="L410" s="177"/>
      <c r="M410" s="57"/>
      <c r="N410" s="57"/>
      <c r="P410" s="400"/>
      <c r="Q410" s="57"/>
      <c r="R410" s="58"/>
    </row>
    <row r="411" spans="2:18" s="22" customFormat="1" ht="14">
      <c r="B411" s="179"/>
      <c r="C411" s="50"/>
      <c r="D411" s="173"/>
      <c r="E411" s="57"/>
      <c r="F411" s="58"/>
      <c r="H411" s="352"/>
      <c r="I411" s="57"/>
      <c r="J411" s="57"/>
      <c r="K411" s="57"/>
      <c r="L411" s="177"/>
      <c r="M411" s="57"/>
      <c r="N411" s="57"/>
      <c r="P411" s="400"/>
      <c r="Q411" s="57"/>
      <c r="R411" s="58"/>
    </row>
    <row r="412" spans="2:18" s="22" customFormat="1" ht="14">
      <c r="B412" s="51" t="s">
        <v>69</v>
      </c>
      <c r="C412" s="50"/>
      <c r="D412" s="173"/>
      <c r="E412" s="57"/>
      <c r="F412" s="58"/>
      <c r="H412" s="352"/>
      <c r="I412" s="57"/>
      <c r="J412" s="57"/>
      <c r="K412" s="57"/>
      <c r="L412" s="177"/>
      <c r="M412" s="57"/>
      <c r="N412" s="57"/>
      <c r="P412" s="168"/>
      <c r="Q412" s="57"/>
      <c r="R412" s="58"/>
    </row>
    <row r="413" spans="2:18" s="22" customFormat="1" ht="14">
      <c r="B413" s="51" t="s">
        <v>73</v>
      </c>
      <c r="C413" s="50"/>
      <c r="D413" s="173"/>
      <c r="E413" s="57"/>
      <c r="F413" s="58"/>
      <c r="H413" s="173"/>
      <c r="I413" s="57"/>
      <c r="J413" s="57"/>
      <c r="K413" s="57"/>
      <c r="L413" s="177"/>
      <c r="M413" s="57"/>
      <c r="N413" s="57"/>
      <c r="P413" s="168"/>
      <c r="Q413" s="57"/>
      <c r="R413" s="58"/>
    </row>
    <row r="414" spans="2:18" s="22" customFormat="1" ht="14">
      <c r="C414" s="52"/>
      <c r="D414" s="52"/>
      <c r="E414" s="22" t="s">
        <v>146</v>
      </c>
      <c r="F414" s="52"/>
      <c r="H414" s="173"/>
      <c r="I414" s="57"/>
      <c r="J414" s="57"/>
      <c r="K414" s="57"/>
      <c r="L414" s="177"/>
      <c r="M414" s="57"/>
      <c r="N414" s="57"/>
      <c r="P414" s="168"/>
      <c r="Q414" s="57" t="s">
        <v>147</v>
      </c>
      <c r="R414" s="58"/>
    </row>
    <row r="415" spans="2:18" s="22" customFormat="1" ht="14">
      <c r="B415" s="22" t="s">
        <v>51</v>
      </c>
      <c r="C415" s="52"/>
      <c r="D415" s="52" t="s">
        <v>2</v>
      </c>
      <c r="E415" s="79">
        <v>44660</v>
      </c>
      <c r="F415" s="52">
        <v>18</v>
      </c>
      <c r="O415" s="52"/>
      <c r="P415" s="56"/>
      <c r="Q415" s="79">
        <v>44661</v>
      </c>
      <c r="R415" s="52">
        <v>40</v>
      </c>
    </row>
    <row r="416" spans="2:18" s="22" customFormat="1" ht="14">
      <c r="C416" s="52"/>
      <c r="D416" s="52"/>
      <c r="E416" s="22" t="s">
        <v>99</v>
      </c>
      <c r="F416" s="174">
        <f>VLOOKUP(F415,競漕日程!$A$4:$D$41,2)</f>
        <v>0.61388888888888904</v>
      </c>
      <c r="G416" s="23"/>
      <c r="O416" s="52"/>
      <c r="R416" s="174">
        <f>VLOOKUP(R415,競漕日程!$A$4:$D$50,2)</f>
        <v>0.52777777777777801</v>
      </c>
    </row>
    <row r="417" spans="1:18" s="22" customFormat="1" ht="14">
      <c r="B417" s="401" t="str">
        <f>IF(A417="","",IF(INDEX('4×+W'!$B$2:$D$86,MATCH($A417,'4×+W'!$B$2:$B$86,),MATCH($B$415,'4×+M'!$B$2:$D$2,))&lt;&gt;"",INDEX('4×+W'!$B$2:$D$86,MATCH($A417,'4×+W'!$B$2:$B$86,),MATCH($B$415,'4×+W'!$B$2:$D$2,)),""))</f>
        <v/>
      </c>
      <c r="C417" s="120"/>
      <c r="D417" s="399"/>
      <c r="F417" s="175"/>
      <c r="O417" s="167"/>
      <c r="P417" s="399"/>
      <c r="R417" s="175"/>
    </row>
    <row r="418" spans="1:18" s="22" customFormat="1" ht="14">
      <c r="B418" s="401" t="e">
        <f ca="1">IF(INDEX('１×Ｍ'!$B$50:$J$70,MATCH($A$149,'１×Ｍ'!$B$50:$B$70,),MATCH($B418,'１×Ｍ'!$B$50:$J$50,))&lt;&gt;"",INDEX('１×Ｍ'!$B$50:$J$70,MATCH($A$149,'１×Ｍ'!$B$50:$B$70,),MATCH($B418,'１×Ｍ'!$B$50:$J$50,)),"")</f>
        <v>#N/A</v>
      </c>
      <c r="C418" s="120"/>
      <c r="D418" s="399"/>
      <c r="E418" s="57"/>
      <c r="F418" s="58"/>
      <c r="O418" s="167"/>
      <c r="P418" s="399"/>
      <c r="Q418" s="57"/>
      <c r="R418" s="58"/>
    </row>
    <row r="419" spans="1:18" s="22" customFormat="1" ht="14">
      <c r="A419" s="22">
        <v>3</v>
      </c>
      <c r="B419" s="401" t="str">
        <f>IF(A419="","",IF(INDEX('4×+W'!$B$2:$D$86,MATCH($A419,'4×+W'!$B$2:$B$86,),MATCH($B$415,'4×+M'!$B$2:$D$2,))&lt;&gt;"",INDEX('4×+W'!$B$2:$D$86,MATCH($A419,'4×+W'!$B$2:$B$86,),MATCH($B$415,'4×+W'!$B$2:$D$2,)),""))</f>
        <v>浜松北高校</v>
      </c>
      <c r="C419" s="120"/>
      <c r="D419" s="399">
        <v>2</v>
      </c>
      <c r="E419" s="57"/>
      <c r="F419" s="58"/>
      <c r="O419" s="167"/>
      <c r="P419" s="399">
        <v>2</v>
      </c>
      <c r="Q419" s="57"/>
      <c r="R419" s="58"/>
    </row>
    <row r="420" spans="1:18" s="22" customFormat="1" ht="14">
      <c r="B420" s="401" t="e">
        <f ca="1">IF(INDEX('１×Ｍ'!$B$50:$J$70,MATCH($A$149,'１×Ｍ'!$B$50:$B$70,),MATCH($B420,'１×Ｍ'!$B$50:$J$50,))&lt;&gt;"",INDEX('１×Ｍ'!$B$50:$J$70,MATCH($A$149,'１×Ｍ'!$B$50:$B$70,),MATCH($B420,'１×Ｍ'!$B$50:$J$50,)),"")</f>
        <v>#N/A</v>
      </c>
      <c r="C420" s="120"/>
      <c r="D420" s="399"/>
      <c r="E420" s="342"/>
      <c r="F420" s="58"/>
      <c r="O420" s="167"/>
      <c r="P420" s="399"/>
      <c r="Q420" s="342" t="s">
        <v>837</v>
      </c>
      <c r="R420" s="58"/>
    </row>
    <row r="421" spans="1:18" s="22" customFormat="1" ht="14">
      <c r="A421" s="22">
        <v>1</v>
      </c>
      <c r="B421" s="401" t="str">
        <f>IF(A421="","",IF(INDEX('4×+W'!$B$2:$D$86,MATCH($A421,'4×+W'!$B$2:$B$86,),MATCH($B$415,'4×+M'!$B$2:$D$2,))&lt;&gt;"",INDEX('4×+W'!$B$2:$D$86,MATCH($A421,'4×+W'!$B$2:$B$86,),MATCH($B$415,'4×+W'!$B$2:$D$2,)),""))</f>
        <v>沼津東高校</v>
      </c>
      <c r="C421" s="120"/>
      <c r="D421" s="399">
        <v>3</v>
      </c>
      <c r="E421" s="358"/>
      <c r="F421" s="58"/>
      <c r="O421" s="167"/>
      <c r="P421" s="399">
        <v>3</v>
      </c>
      <c r="Q421" s="358"/>
      <c r="R421" s="57"/>
    </row>
    <row r="422" spans="1:18" s="22" customFormat="1" ht="14">
      <c r="B422" s="401" t="e">
        <f ca="1">IF(INDEX('１×Ｍ'!$B$50:$J$70,MATCH($A$149,'１×Ｍ'!$B$50:$B$70,),MATCH($B422,'１×Ｍ'!$B$50:$J$50,))&lt;&gt;"",INDEX('１×Ｍ'!$B$50:$J$70,MATCH($A$149,'１×Ｍ'!$B$50:$B$70,),MATCH($B422,'１×Ｍ'!$B$50:$J$50,)),"")</f>
        <v>#N/A</v>
      </c>
      <c r="C422" s="120"/>
      <c r="D422" s="399"/>
      <c r="E422" s="61"/>
      <c r="F422" s="60"/>
      <c r="O422" s="167"/>
      <c r="P422" s="399"/>
      <c r="Q422" s="343" t="s">
        <v>836</v>
      </c>
      <c r="R422" s="344"/>
    </row>
    <row r="423" spans="1:18" s="22" customFormat="1" ht="14">
      <c r="A423" s="22">
        <v>2</v>
      </c>
      <c r="B423" s="401" t="str">
        <f>IF(A423="","",IF(INDEX('4×+W'!$B$2:$D$86,MATCH($A423,'4×+W'!$B$2:$B$86,),MATCH($B$415,'4×+M'!$B$2:$D$2,))&lt;&gt;"",INDEX('4×+W'!$B$2:$D$86,MATCH($A423,'4×+W'!$B$2:$B$86,),MATCH($B$415,'4×+W'!$B$2:$D$2,)),""))</f>
        <v>浜松大平台高校</v>
      </c>
      <c r="C423" s="120"/>
      <c r="D423" s="399">
        <v>4</v>
      </c>
      <c r="E423" s="62"/>
      <c r="F423" s="60"/>
      <c r="O423" s="167"/>
      <c r="P423" s="399">
        <v>4</v>
      </c>
      <c r="Q423" s="62"/>
      <c r="R423" s="63"/>
    </row>
    <row r="424" spans="1:18" s="22" customFormat="1" ht="14">
      <c r="B424" s="401" t="e">
        <f ca="1">IF(INDEX('１×Ｍ'!$B$50:$J$70,MATCH($A$149,'１×Ｍ'!$B$50:$B$70,),MATCH($B424,'１×Ｍ'!$B$50:$J$50,))&lt;&gt;"",INDEX('１×Ｍ'!$B$50:$J$70,MATCH($A$149,'１×Ｍ'!$B$50:$B$70,),MATCH($B424,'１×Ｍ'!$B$50:$J$50,)),"")</f>
        <v>#N/A</v>
      </c>
      <c r="C424" s="120"/>
      <c r="D424" s="399"/>
      <c r="E424" s="197"/>
      <c r="F424" s="58"/>
      <c r="H424" s="70"/>
      <c r="O424" s="167"/>
      <c r="P424" s="399"/>
      <c r="Q424" s="197" t="s">
        <v>145</v>
      </c>
    </row>
    <row r="425" spans="1:18" s="22" customFormat="1" ht="14">
      <c r="B425" s="401" t="str">
        <f>IF(A425="","",IF(INDEX('4×+W'!$B$2:$D$86,MATCH($A425,'4×+W'!$B$2:$B$86,),MATCH($B$415,'4×+M'!$B$2:$D$2,))&lt;&gt;"",INDEX('4×+W'!$B$2:$D$86,MATCH($A425,'4×+W'!$B$2:$B$86,),MATCH($B$415,'4×+W'!$B$2:$D$2,)),""))</f>
        <v/>
      </c>
      <c r="C425" s="123"/>
      <c r="D425" s="399"/>
      <c r="E425" s="57"/>
      <c r="F425" s="58"/>
      <c r="M425" s="167"/>
      <c r="N425" s="169"/>
      <c r="O425" s="169"/>
      <c r="P425" s="399"/>
      <c r="Q425" s="57"/>
    </row>
    <row r="426" spans="1:18" s="22" customFormat="1" ht="14">
      <c r="B426" s="401" t="e">
        <f ca="1">IF(INDEX('１×Ｍ'!$B$50:$J$70,MATCH($A$149,'１×Ｍ'!$B$50:$B$70,),MATCH($B426,'１×Ｍ'!$B$50:$J$50,))&lt;&gt;"",INDEX('１×Ｍ'!$B$50:$J$70,MATCH($A$149,'１×Ｍ'!$B$50:$B$70,),MATCH($B426,'１×Ｍ'!$B$50:$J$50,)),"")</f>
        <v>#N/A</v>
      </c>
      <c r="C426" s="123"/>
      <c r="D426" s="399"/>
      <c r="E426" s="57"/>
      <c r="F426" s="58"/>
      <c r="M426" s="169"/>
      <c r="N426" s="169"/>
      <c r="O426" s="169"/>
      <c r="P426" s="399"/>
      <c r="Q426" s="57"/>
    </row>
    <row r="427" spans="1:18" s="22" customFormat="1" ht="14.5" hidden="1" customHeight="1">
      <c r="B427" s="405"/>
      <c r="C427" s="52"/>
      <c r="D427" s="399"/>
      <c r="E427" s="57"/>
      <c r="F427" s="58"/>
      <c r="M427" s="167"/>
      <c r="N427" s="169"/>
      <c r="O427" s="169"/>
      <c r="P427" s="399">
        <v>6</v>
      </c>
      <c r="Q427" s="57"/>
    </row>
    <row r="428" spans="1:18" s="22" customFormat="1" ht="14.5" hidden="1" customHeight="1">
      <c r="B428" s="405"/>
      <c r="C428" s="52"/>
      <c r="D428" s="399"/>
      <c r="E428" s="57"/>
      <c r="F428" s="58"/>
      <c r="M428" s="169"/>
      <c r="N428" s="169"/>
      <c r="O428" s="169"/>
      <c r="P428" s="399"/>
      <c r="Q428" s="57" t="s">
        <v>143</v>
      </c>
    </row>
    <row r="429" spans="1:18" s="22" customFormat="1" ht="14.5" hidden="1" customHeight="1">
      <c r="B429" s="124"/>
      <c r="C429" s="52"/>
      <c r="D429" s="64"/>
      <c r="E429" s="80"/>
      <c r="F429" s="105">
        <v>17</v>
      </c>
      <c r="M429" s="169"/>
      <c r="N429" s="169"/>
      <c r="O429" s="169"/>
      <c r="P429" s="17"/>
      <c r="Q429" s="57"/>
      <c r="R429" s="52">
        <v>32</v>
      </c>
    </row>
    <row r="430" spans="1:18" s="22" customFormat="1" ht="14.5" hidden="1" customHeight="1">
      <c r="C430" s="52"/>
      <c r="D430" s="67"/>
      <c r="E430" s="57" t="s">
        <v>85</v>
      </c>
      <c r="F430" s="69">
        <v>0.50555555555555554</v>
      </c>
      <c r="O430" s="105"/>
      <c r="Q430" s="57"/>
      <c r="R430" s="54">
        <v>0.65</v>
      </c>
    </row>
    <row r="431" spans="1:18" s="22" customFormat="1" ht="14.5" hidden="1" customHeight="1">
      <c r="B431" s="401" t="e">
        <f>IF(INDEX('4×+W'!$B$2:$D$86,MATCH($A$431,'4×+W'!$B$2:$B$86,),MATCH($B415,'4×+M'!$B$2:$D$2,))&lt;&gt;"",INDEX('4×+W'!$B$2:$D$86,MATCH($A$431,'4×+W'!$B$2:$B$86,),MATCH($B415,'4×+W'!$B$2:$D$2,)),"")</f>
        <v>#N/A</v>
      </c>
      <c r="C431" s="120"/>
      <c r="D431" s="399"/>
      <c r="E431" s="57"/>
      <c r="F431" s="58"/>
      <c r="O431" s="168"/>
      <c r="P431" s="399">
        <v>2</v>
      </c>
      <c r="Q431" s="57"/>
    </row>
    <row r="432" spans="1:18" s="22" customFormat="1" ht="14.5" hidden="1" customHeight="1">
      <c r="B432" s="401" t="e">
        <f ca="1">IF(INDEX('１×Ｍ'!$B$50:$J$70,MATCH($A$149,'１×Ｍ'!$B$50:$B$70,),MATCH($B432,'１×Ｍ'!$B$50:$J$50,))&lt;&gt;"",INDEX('１×Ｍ'!$B$50:$J$70,MATCH($A$149,'１×Ｍ'!$B$50:$B$70,),MATCH($B432,'１×Ｍ'!$B$50:$J$50,)),"")</f>
        <v>#N/A</v>
      </c>
      <c r="C432" s="120"/>
      <c r="D432" s="399"/>
      <c r="E432" s="57"/>
      <c r="F432" s="58"/>
      <c r="O432" s="168"/>
      <c r="P432" s="399"/>
      <c r="Q432" s="57"/>
    </row>
    <row r="433" spans="2:18" s="22" customFormat="1" ht="14.5" hidden="1" customHeight="1">
      <c r="B433" s="401" t="e">
        <f>IF(INDEX('4×+W'!$B$2:$D$86,MATCH($A$433,'4×+W'!$B$2:$B$86,),MATCH($B415,'4×+M'!$B$2:$D$2,))&lt;&gt;"",INDEX('4×+W'!$B$2:$D$86,MATCH($A$433,'4×+W'!$B$2:$B$86,),MATCH($B415,'4×+W'!$B$2:$D$2,)),"")</f>
        <v>#N/A</v>
      </c>
      <c r="C433" s="120"/>
      <c r="D433" s="399"/>
      <c r="E433" s="57"/>
      <c r="F433" s="58"/>
      <c r="O433" s="168"/>
      <c r="P433" s="399">
        <v>3</v>
      </c>
      <c r="Q433" s="57"/>
      <c r="R433" s="57"/>
    </row>
    <row r="434" spans="2:18" s="22" customFormat="1" ht="14.5" hidden="1" customHeight="1">
      <c r="B434" s="401" t="e">
        <f ca="1">IF(INDEX('１×Ｍ'!$B$50:$J$70,MATCH($A$149,'１×Ｍ'!$B$50:$B$70,),MATCH($B434,'１×Ｍ'!$B$50:$J$50,))&lt;&gt;"",INDEX('１×Ｍ'!$B$50:$J$70,MATCH($A$149,'１×Ｍ'!$B$50:$B$70,),MATCH($B434,'１×Ｍ'!$B$50:$J$50,)),"")</f>
        <v>#N/A</v>
      </c>
      <c r="C434" s="120"/>
      <c r="D434" s="399"/>
      <c r="E434" s="57"/>
      <c r="F434" s="58"/>
      <c r="O434" s="168"/>
      <c r="P434" s="399"/>
      <c r="Q434" s="57"/>
      <c r="R434" s="200"/>
    </row>
    <row r="435" spans="2:18" s="22" customFormat="1" ht="14.5" hidden="1" customHeight="1">
      <c r="B435" s="401" t="e">
        <f>IF(INDEX('4×+W'!$B$2:$D$86,MATCH($A$435,'4×+W'!$B$2:$B$86,),MATCH($B415,'4×+M'!$B$2:$D$2,))&lt;&gt;"",INDEX('4×+W'!$B$2:$D$86,MATCH($A$435,'4×+W'!$B$2:$B$86,),MATCH($B415,'4×+W'!$B$2:$D$2,)),"")</f>
        <v>#N/A</v>
      </c>
      <c r="C435" s="120"/>
      <c r="D435" s="399"/>
      <c r="E435" s="57"/>
      <c r="F435" s="58"/>
      <c r="O435" s="168"/>
      <c r="P435" s="399">
        <v>4</v>
      </c>
      <c r="Q435" s="57"/>
      <c r="R435" s="69"/>
    </row>
    <row r="436" spans="2:18" s="22" customFormat="1" ht="14.5" hidden="1" customHeight="1">
      <c r="B436" s="401" t="e">
        <f ca="1">IF(INDEX('１×Ｍ'!$B$50:$J$70,MATCH($A$149,'１×Ｍ'!$B$50:$B$70,),MATCH($B436,'１×Ｍ'!$B$50:$J$50,))&lt;&gt;"",INDEX('１×Ｍ'!$B$50:$J$70,MATCH($A$149,'１×Ｍ'!$B$50:$B$70,),MATCH($B436,'１×Ｍ'!$B$50:$J$50,)),"")</f>
        <v>#N/A</v>
      </c>
      <c r="C436" s="120"/>
      <c r="D436" s="399"/>
      <c r="E436" s="57"/>
      <c r="F436" s="58"/>
      <c r="I436" s="57"/>
      <c r="O436" s="168"/>
      <c r="P436" s="399"/>
      <c r="Q436" s="57"/>
      <c r="R436" s="58"/>
    </row>
    <row r="437" spans="2:18" s="22" customFormat="1" ht="14.5" hidden="1" customHeight="1">
      <c r="B437" s="401" t="e">
        <f>IF(INDEX('4×+W'!$B$2:$D$86,MATCH($A$437,'4×+W'!$B$2:$B$86,),MATCH($B415,'4×+M'!$B$2:$D$2,))&lt;&gt;"",INDEX('4×+W'!$B$2:$D$86,MATCH($A$437,'4×+W'!$B$2:$B$86,),MATCH($B415,'4×+W'!$B$2:$D$2,)),"")</f>
        <v>#N/A</v>
      </c>
      <c r="C437" s="120"/>
      <c r="D437" s="399"/>
      <c r="E437" s="57"/>
      <c r="F437" s="58"/>
      <c r="I437" s="57"/>
      <c r="O437" s="168"/>
      <c r="P437" s="399">
        <v>5</v>
      </c>
      <c r="Q437" s="57"/>
      <c r="R437" s="58"/>
    </row>
    <row r="438" spans="2:18" s="22" customFormat="1" ht="14.5" hidden="1" customHeight="1">
      <c r="B438" s="401" t="e">
        <f ca="1">IF(INDEX('１×Ｍ'!$B$50:$J$70,MATCH($A$149,'１×Ｍ'!$B$50:$B$70,),MATCH($B438,'１×Ｍ'!$B$50:$J$50,))&lt;&gt;"",INDEX('１×Ｍ'!$B$50:$J$70,MATCH($A$149,'１×Ｍ'!$B$50:$B$70,),MATCH($B438,'１×Ｍ'!$B$50:$J$50,)),"")</f>
        <v>#N/A</v>
      </c>
      <c r="C438" s="120"/>
      <c r="D438" s="399"/>
      <c r="E438" s="57"/>
      <c r="F438" s="58"/>
      <c r="I438" s="57"/>
      <c r="O438" s="168"/>
      <c r="P438" s="399"/>
      <c r="Q438" s="57"/>
      <c r="R438" s="58"/>
    </row>
    <row r="439" spans="2:18" ht="14">
      <c r="B439" s="401" t="str">
        <f>IF(A439="","",IF(INDEX('4×+W'!$B$2:$D$86,MATCH($A439,'4×+W'!$B$2:$B$86,),MATCH($B$415,'4×+M'!$B$2:$D$2,))&lt;&gt;"",INDEX('4×+W'!$B$2:$D$86,MATCH($A439,'4×+W'!$B$2:$B$86,),MATCH($B$415,'4×+W'!$B$2:$D$2,)),""))</f>
        <v/>
      </c>
      <c r="C439" s="157"/>
      <c r="D439" s="404"/>
      <c r="E439" s="21"/>
      <c r="F439" s="81"/>
      <c r="P439" s="404"/>
      <c r="Q439" s="21"/>
      <c r="R439" s="58"/>
    </row>
    <row r="440" spans="2:18" ht="14">
      <c r="B440" s="401" t="e">
        <f ca="1">IF(INDEX('１×Ｍ'!$B$50:$J$70,MATCH($A$149,'１×Ｍ'!$B$50:$B$70,),MATCH($B440,'１×Ｍ'!$B$50:$J$50,))&lt;&gt;"",INDEX('１×Ｍ'!$B$50:$J$70,MATCH($A$149,'１×Ｍ'!$B$50:$B$70,),MATCH($B440,'１×Ｍ'!$B$50:$J$50,)),"")</f>
        <v>#N/A</v>
      </c>
      <c r="C440" s="157"/>
      <c r="D440" s="404"/>
      <c r="E440" s="21"/>
      <c r="F440" s="81"/>
      <c r="P440" s="404"/>
      <c r="Q440" s="11"/>
      <c r="R440" s="58"/>
    </row>
    <row r="441" spans="2:18" ht="14">
      <c r="D441" s="20"/>
      <c r="E441" s="21"/>
      <c r="F441" s="81"/>
      <c r="I441" s="167"/>
      <c r="P441" s="18"/>
      <c r="Q441" s="57"/>
      <c r="R441" s="58"/>
    </row>
    <row r="442" spans="2:18" ht="14">
      <c r="I442" s="167"/>
      <c r="P442" s="18"/>
      <c r="Q442" s="57"/>
      <c r="R442" s="58"/>
    </row>
    <row r="443" spans="2:18" ht="14">
      <c r="I443" s="167"/>
      <c r="P443" s="18"/>
      <c r="Q443" s="57"/>
      <c r="R443" s="58"/>
    </row>
    <row r="444" spans="2:18" ht="14">
      <c r="M444" s="167"/>
      <c r="N444" s="169"/>
      <c r="O444" s="169"/>
      <c r="P444" s="18"/>
      <c r="Q444" s="57"/>
      <c r="R444" s="58"/>
    </row>
    <row r="445" spans="2:18" ht="14">
      <c r="M445" s="169"/>
      <c r="N445" s="169"/>
      <c r="O445" s="169"/>
      <c r="P445" s="18"/>
      <c r="Q445" s="57"/>
      <c r="R445" s="58"/>
    </row>
    <row r="446" spans="2:18" ht="14">
      <c r="M446" s="167"/>
      <c r="N446" s="169"/>
      <c r="O446" s="169"/>
      <c r="P446" s="18"/>
      <c r="Q446" s="57"/>
      <c r="R446" s="58"/>
    </row>
    <row r="447" spans="2:18" ht="14">
      <c r="M447" s="169"/>
      <c r="N447" s="169"/>
      <c r="O447" s="169"/>
      <c r="P447" s="18"/>
      <c r="Q447" s="57"/>
      <c r="R447" s="58"/>
    </row>
    <row r="448" spans="2:18" ht="14">
      <c r="E448" s="16"/>
    </row>
  </sheetData>
  <sortState xmlns:xlrd2="http://schemas.microsoft.com/office/spreadsheetml/2017/richdata2" ref="W6:W140">
    <sortCondition ref="W6:W140"/>
  </sortState>
  <mergeCells count="721">
    <mergeCell ref="H111:H112"/>
    <mergeCell ref="H113:H114"/>
    <mergeCell ref="H115:H116"/>
    <mergeCell ref="H105:H106"/>
    <mergeCell ref="H107:H108"/>
    <mergeCell ref="H109:H110"/>
    <mergeCell ref="B139:B140"/>
    <mergeCell ref="C139:C140"/>
    <mergeCell ref="D139:D140"/>
    <mergeCell ref="B127:B128"/>
    <mergeCell ref="C127:C128"/>
    <mergeCell ref="D127:D128"/>
    <mergeCell ref="H127:H128"/>
    <mergeCell ref="C119:C120"/>
    <mergeCell ref="D119:D120"/>
    <mergeCell ref="H119:H120"/>
    <mergeCell ref="B111:B112"/>
    <mergeCell ref="B115:B116"/>
    <mergeCell ref="C115:C116"/>
    <mergeCell ref="D115:D116"/>
    <mergeCell ref="B113:B114"/>
    <mergeCell ref="C113:C114"/>
    <mergeCell ref="D113:D114"/>
    <mergeCell ref="B109:B110"/>
    <mergeCell ref="P123:P124"/>
    <mergeCell ref="B125:B126"/>
    <mergeCell ref="C125:C126"/>
    <mergeCell ref="D125:D126"/>
    <mergeCell ref="H125:H126"/>
    <mergeCell ref="P125:P126"/>
    <mergeCell ref="B141:B142"/>
    <mergeCell ref="C141:C142"/>
    <mergeCell ref="D141:D142"/>
    <mergeCell ref="B133:B134"/>
    <mergeCell ref="C133:C134"/>
    <mergeCell ref="D133:D134"/>
    <mergeCell ref="B135:B136"/>
    <mergeCell ref="C135:C136"/>
    <mergeCell ref="D135:D136"/>
    <mergeCell ref="B137:B138"/>
    <mergeCell ref="C137:C138"/>
    <mergeCell ref="D137:D138"/>
    <mergeCell ref="H121:H122"/>
    <mergeCell ref="P121:P122"/>
    <mergeCell ref="L268:L269"/>
    <mergeCell ref="L270:L271"/>
    <mergeCell ref="P9:P10"/>
    <mergeCell ref="P11:P12"/>
    <mergeCell ref="P13:P14"/>
    <mergeCell ref="P15:P16"/>
    <mergeCell ref="P23:P24"/>
    <mergeCell ref="P25:P26"/>
    <mergeCell ref="P27:P28"/>
    <mergeCell ref="P29:P30"/>
    <mergeCell ref="L152:L153"/>
    <mergeCell ref="L154:L155"/>
    <mergeCell ref="L156:L157"/>
    <mergeCell ref="L158:L159"/>
    <mergeCell ref="L160:L161"/>
    <mergeCell ref="L162:L163"/>
    <mergeCell ref="L175:L176"/>
    <mergeCell ref="L177:L178"/>
    <mergeCell ref="P127:P128"/>
    <mergeCell ref="H129:H130"/>
    <mergeCell ref="P129:P130"/>
    <mergeCell ref="H123:H124"/>
    <mergeCell ref="L169:L170"/>
    <mergeCell ref="L171:L172"/>
    <mergeCell ref="L173:L174"/>
    <mergeCell ref="L201:L202"/>
    <mergeCell ref="P7:P8"/>
    <mergeCell ref="P17:P18"/>
    <mergeCell ref="L47:M47"/>
    <mergeCell ref="L49:L50"/>
    <mergeCell ref="L51:L52"/>
    <mergeCell ref="L53:L54"/>
    <mergeCell ref="L55:L56"/>
    <mergeCell ref="L57:L58"/>
    <mergeCell ref="L59:L60"/>
    <mergeCell ref="P49:P50"/>
    <mergeCell ref="P51:P52"/>
    <mergeCell ref="P53:P54"/>
    <mergeCell ref="P55:P56"/>
    <mergeCell ref="P169:P170"/>
    <mergeCell ref="P171:P172"/>
    <mergeCell ref="P173:P174"/>
    <mergeCell ref="P175:P176"/>
    <mergeCell ref="P177:P178"/>
    <mergeCell ref="P167:P168"/>
    <mergeCell ref="P119:P120"/>
    <mergeCell ref="P439:P440"/>
    <mergeCell ref="P410:P411"/>
    <mergeCell ref="P400:P401"/>
    <mergeCell ref="P402:P403"/>
    <mergeCell ref="P404:P405"/>
    <mergeCell ref="P406:P407"/>
    <mergeCell ref="P408:P409"/>
    <mergeCell ref="P421:P422"/>
    <mergeCell ref="P423:P424"/>
    <mergeCell ref="P417:P418"/>
    <mergeCell ref="P419:P420"/>
    <mergeCell ref="P433:P434"/>
    <mergeCell ref="P437:P438"/>
    <mergeCell ref="P435:P436"/>
    <mergeCell ref="P431:P432"/>
    <mergeCell ref="P425:P426"/>
    <mergeCell ref="P427:P428"/>
    <mergeCell ref="P394:P395"/>
    <mergeCell ref="H390:H391"/>
    <mergeCell ref="L390:L391"/>
    <mergeCell ref="H379:H380"/>
    <mergeCell ref="L379:L380"/>
    <mergeCell ref="H384:H385"/>
    <mergeCell ref="L384:L385"/>
    <mergeCell ref="H386:H387"/>
    <mergeCell ref="L386:L387"/>
    <mergeCell ref="H388:H389"/>
    <mergeCell ref="L388:L389"/>
    <mergeCell ref="P379:P380"/>
    <mergeCell ref="H392:H393"/>
    <mergeCell ref="L392:L393"/>
    <mergeCell ref="P384:P385"/>
    <mergeCell ref="P386:P387"/>
    <mergeCell ref="P388:P389"/>
    <mergeCell ref="P390:P391"/>
    <mergeCell ref="P392:P393"/>
    <mergeCell ref="H375:H376"/>
    <mergeCell ref="L375:L376"/>
    <mergeCell ref="C230:C231"/>
    <mergeCell ref="C234:C235"/>
    <mergeCell ref="C201:C202"/>
    <mergeCell ref="H394:H395"/>
    <mergeCell ref="L394:L395"/>
    <mergeCell ref="H251:H252"/>
    <mergeCell ref="H261:H262"/>
    <mergeCell ref="D334:D335"/>
    <mergeCell ref="D350:D351"/>
    <mergeCell ref="D348:D349"/>
    <mergeCell ref="D328:D329"/>
    <mergeCell ref="D342:D343"/>
    <mergeCell ref="D336:D337"/>
    <mergeCell ref="H314:H315"/>
    <mergeCell ref="H310:H311"/>
    <mergeCell ref="H312:H313"/>
    <mergeCell ref="H369:H370"/>
    <mergeCell ref="H207:H208"/>
    <mergeCell ref="L207:L208"/>
    <mergeCell ref="H377:H378"/>
    <mergeCell ref="L245:L246"/>
    <mergeCell ref="L266:L267"/>
    <mergeCell ref="L255:L256"/>
    <mergeCell ref="L260:L261"/>
    <mergeCell ref="L262:L263"/>
    <mergeCell ref="L264:L265"/>
    <mergeCell ref="L45:L46"/>
    <mergeCell ref="H23:H24"/>
    <mergeCell ref="L23:L24"/>
    <mergeCell ref="H25:H26"/>
    <mergeCell ref="H29:H30"/>
    <mergeCell ref="L35:L36"/>
    <mergeCell ref="H37:H38"/>
    <mergeCell ref="L37:L38"/>
    <mergeCell ref="L25:L26"/>
    <mergeCell ref="L27:L28"/>
    <mergeCell ref="L29:L30"/>
    <mergeCell ref="L31:L32"/>
    <mergeCell ref="H27:H28"/>
    <mergeCell ref="H31:H32"/>
    <mergeCell ref="H39:H40"/>
    <mergeCell ref="L39:L40"/>
    <mergeCell ref="H41:H42"/>
    <mergeCell ref="H247:H248"/>
    <mergeCell ref="H249:H250"/>
    <mergeCell ref="H45:H46"/>
    <mergeCell ref="P330:P331"/>
    <mergeCell ref="L41:L42"/>
    <mergeCell ref="H43:H44"/>
    <mergeCell ref="L43:L44"/>
    <mergeCell ref="H7:H8"/>
    <mergeCell ref="L7:L8"/>
    <mergeCell ref="H9:H10"/>
    <mergeCell ref="L9:L10"/>
    <mergeCell ref="H11:H12"/>
    <mergeCell ref="L11:L12"/>
    <mergeCell ref="H13:H14"/>
    <mergeCell ref="L13:L14"/>
    <mergeCell ref="H35:H36"/>
    <mergeCell ref="H15:H16"/>
    <mergeCell ref="L15:L16"/>
    <mergeCell ref="H17:H18"/>
    <mergeCell ref="L17:L18"/>
    <mergeCell ref="H21:H22"/>
    <mergeCell ref="L21:L22"/>
    <mergeCell ref="H197:H198"/>
    <mergeCell ref="L197:L198"/>
    <mergeCell ref="P197:P198"/>
    <mergeCell ref="H199:H200"/>
    <mergeCell ref="H263:H264"/>
    <mergeCell ref="L377:L378"/>
    <mergeCell ref="L369:L370"/>
    <mergeCell ref="H371:H372"/>
    <mergeCell ref="L371:L372"/>
    <mergeCell ref="P308:P309"/>
    <mergeCell ref="P306:P307"/>
    <mergeCell ref="P312:P313"/>
    <mergeCell ref="P314:P315"/>
    <mergeCell ref="P375:P376"/>
    <mergeCell ref="P369:P370"/>
    <mergeCell ref="P371:P372"/>
    <mergeCell ref="H373:H374"/>
    <mergeCell ref="P322:P323"/>
    <mergeCell ref="P344:P345"/>
    <mergeCell ref="P316:P317"/>
    <mergeCell ref="P310:P311"/>
    <mergeCell ref="P328:P329"/>
    <mergeCell ref="P377:P378"/>
    <mergeCell ref="P373:P374"/>
    <mergeCell ref="P326:P327"/>
    <mergeCell ref="P320:P321"/>
    <mergeCell ref="P324:P325"/>
    <mergeCell ref="H316:H317"/>
    <mergeCell ref="L373:L374"/>
    <mergeCell ref="L253:L254"/>
    <mergeCell ref="B253:B254"/>
    <mergeCell ref="B251:B252"/>
    <mergeCell ref="D253:D254"/>
    <mergeCell ref="D251:D252"/>
    <mergeCell ref="B212:B213"/>
    <mergeCell ref="B214:B215"/>
    <mergeCell ref="C220:C221"/>
    <mergeCell ref="D234:D235"/>
    <mergeCell ref="D245:D246"/>
    <mergeCell ref="D218:D219"/>
    <mergeCell ref="L247:L248"/>
    <mergeCell ref="L249:L250"/>
    <mergeCell ref="D220:D221"/>
    <mergeCell ref="D247:D248"/>
    <mergeCell ref="D214:D215"/>
    <mergeCell ref="B226:B227"/>
    <mergeCell ref="C216:C217"/>
    <mergeCell ref="D222:D223"/>
    <mergeCell ref="D232:D233"/>
    <mergeCell ref="D228:D229"/>
    <mergeCell ref="L251:L252"/>
    <mergeCell ref="H245:H246"/>
    <mergeCell ref="B81:B82"/>
    <mergeCell ref="B119:B120"/>
    <mergeCell ref="B247:B248"/>
    <mergeCell ref="B249:B250"/>
    <mergeCell ref="B205:B206"/>
    <mergeCell ref="C205:C206"/>
    <mergeCell ref="C218:C219"/>
    <mergeCell ref="C214:C215"/>
    <mergeCell ref="C212:C213"/>
    <mergeCell ref="B220:B221"/>
    <mergeCell ref="B207:B208"/>
    <mergeCell ref="B121:B122"/>
    <mergeCell ref="C121:C122"/>
    <mergeCell ref="B129:B130"/>
    <mergeCell ref="C129:C130"/>
    <mergeCell ref="B123:B124"/>
    <mergeCell ref="C123:C124"/>
    <mergeCell ref="B143:B144"/>
    <mergeCell ref="C143:C144"/>
    <mergeCell ref="H59:H60"/>
    <mergeCell ref="H77:H78"/>
    <mergeCell ref="B9:B10"/>
    <mergeCell ref="C171:C172"/>
    <mergeCell ref="C175:C17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B67:B68"/>
    <mergeCell ref="C67:C68"/>
    <mergeCell ref="C173:C174"/>
    <mergeCell ref="B156:B157"/>
    <mergeCell ref="B41:B42"/>
    <mergeCell ref="B43:B44"/>
    <mergeCell ref="B59:B60"/>
    <mergeCell ref="B57:B58"/>
    <mergeCell ref="C31:C32"/>
    <mergeCell ref="B45:B46"/>
    <mergeCell ref="D65:D66"/>
    <mergeCell ref="D53:D54"/>
    <mergeCell ref="D43:D44"/>
    <mergeCell ref="C156:C157"/>
    <mergeCell ref="C57:C58"/>
    <mergeCell ref="C65:C66"/>
    <mergeCell ref="D55:D56"/>
    <mergeCell ref="D57:D58"/>
    <mergeCell ref="D152:D153"/>
    <mergeCell ref="D59:D60"/>
    <mergeCell ref="D69:D70"/>
    <mergeCell ref="D71:D72"/>
    <mergeCell ref="C152:C153"/>
    <mergeCell ref="C59:C60"/>
    <mergeCell ref="C51:C52"/>
    <mergeCell ref="C55:C56"/>
    <mergeCell ref="C49:C50"/>
    <mergeCell ref="C43:C44"/>
    <mergeCell ref="C81:C82"/>
    <mergeCell ref="D81:D82"/>
    <mergeCell ref="D121:D122"/>
    <mergeCell ref="D129:D130"/>
    <mergeCell ref="D123:D124"/>
    <mergeCell ref="D143:D144"/>
    <mergeCell ref="C7:C8"/>
    <mergeCell ref="B11:B12"/>
    <mergeCell ref="C29:C30"/>
    <mergeCell ref="B31:B32"/>
    <mergeCell ref="B29:B30"/>
    <mergeCell ref="D7:D8"/>
    <mergeCell ref="D9:D10"/>
    <mergeCell ref="D13:D14"/>
    <mergeCell ref="D15:D16"/>
    <mergeCell ref="D11:D12"/>
    <mergeCell ref="B7:B8"/>
    <mergeCell ref="C21:C22"/>
    <mergeCell ref="B17:B18"/>
    <mergeCell ref="C17:C18"/>
    <mergeCell ref="B21:B22"/>
    <mergeCell ref="C25:C26"/>
    <mergeCell ref="B23:B24"/>
    <mergeCell ref="C9:C10"/>
    <mergeCell ref="D27:D28"/>
    <mergeCell ref="C27:C28"/>
    <mergeCell ref="C11:C12"/>
    <mergeCell ref="B27:B28"/>
    <mergeCell ref="D31:D32"/>
    <mergeCell ref="D29:D30"/>
    <mergeCell ref="D17:D18"/>
    <mergeCell ref="D25:D26"/>
    <mergeCell ref="B55:B56"/>
    <mergeCell ref="B53:B54"/>
    <mergeCell ref="C45:C46"/>
    <mergeCell ref="B49:B50"/>
    <mergeCell ref="B13:B14"/>
    <mergeCell ref="C13:C14"/>
    <mergeCell ref="B35:B36"/>
    <mergeCell ref="C23:C24"/>
    <mergeCell ref="D21:D22"/>
    <mergeCell ref="D23:D24"/>
    <mergeCell ref="B25:B26"/>
    <mergeCell ref="D39:D40"/>
    <mergeCell ref="B39:B40"/>
    <mergeCell ref="C41:C42"/>
    <mergeCell ref="D37:D38"/>
    <mergeCell ref="D41:D42"/>
    <mergeCell ref="C39:C40"/>
    <mergeCell ref="C37:C38"/>
    <mergeCell ref="B37:B38"/>
    <mergeCell ref="C53:C54"/>
    <mergeCell ref="C15:C16"/>
    <mergeCell ref="B15:B16"/>
    <mergeCell ref="D263:D264"/>
    <mergeCell ref="D259:D260"/>
    <mergeCell ref="B197:B198"/>
    <mergeCell ref="B175:B176"/>
    <mergeCell ref="B199:B200"/>
    <mergeCell ref="B245:B246"/>
    <mergeCell ref="B259:B260"/>
    <mergeCell ref="B263:B264"/>
    <mergeCell ref="B261:B262"/>
    <mergeCell ref="B203:B204"/>
    <mergeCell ref="B218:B219"/>
    <mergeCell ref="B201:B202"/>
    <mergeCell ref="C197:C198"/>
    <mergeCell ref="C228:C229"/>
    <mergeCell ref="B216:B217"/>
    <mergeCell ref="B255:B256"/>
    <mergeCell ref="D249:D250"/>
    <mergeCell ref="D255:D256"/>
    <mergeCell ref="D201:D202"/>
    <mergeCell ref="D203:D204"/>
    <mergeCell ref="D160:D161"/>
    <mergeCell ref="D212:D213"/>
    <mergeCell ref="B234:B235"/>
    <mergeCell ref="D162:D163"/>
    <mergeCell ref="D197:D198"/>
    <mergeCell ref="B177:B178"/>
    <mergeCell ref="C169:C170"/>
    <mergeCell ref="B160:B161"/>
    <mergeCell ref="B182:B183"/>
    <mergeCell ref="C182:C183"/>
    <mergeCell ref="D186:D187"/>
    <mergeCell ref="B192:B193"/>
    <mergeCell ref="C192:C193"/>
    <mergeCell ref="D192:D193"/>
    <mergeCell ref="D35:D36"/>
    <mergeCell ref="C35:C36"/>
    <mergeCell ref="D49:D50"/>
    <mergeCell ref="D45:D46"/>
    <mergeCell ref="D51:D52"/>
    <mergeCell ref="C199:C200"/>
    <mergeCell ref="C232:C233"/>
    <mergeCell ref="B228:B229"/>
    <mergeCell ref="C222:C223"/>
    <mergeCell ref="B232:B233"/>
    <mergeCell ref="B230:B231"/>
    <mergeCell ref="B51:B52"/>
    <mergeCell ref="D63:D64"/>
    <mergeCell ref="D175:D176"/>
    <mergeCell ref="D67:D68"/>
    <mergeCell ref="D156:D157"/>
    <mergeCell ref="D158:D159"/>
    <mergeCell ref="D73:D74"/>
    <mergeCell ref="B152:B153"/>
    <mergeCell ref="B158:B159"/>
    <mergeCell ref="B154:B155"/>
    <mergeCell ref="C160:C161"/>
    <mergeCell ref="C167:C168"/>
    <mergeCell ref="D167:D168"/>
    <mergeCell ref="B344:B345"/>
    <mergeCell ref="B338:B339"/>
    <mergeCell ref="B336:B337"/>
    <mergeCell ref="B342:B343"/>
    <mergeCell ref="D297:D298"/>
    <mergeCell ref="D314:D315"/>
    <mergeCell ref="B328:B329"/>
    <mergeCell ref="D306:D307"/>
    <mergeCell ref="D324:D325"/>
    <mergeCell ref="D312:D313"/>
    <mergeCell ref="D316:D317"/>
    <mergeCell ref="B324:B325"/>
    <mergeCell ref="B326:B327"/>
    <mergeCell ref="B320:B321"/>
    <mergeCell ref="B322:B323"/>
    <mergeCell ref="B334:B335"/>
    <mergeCell ref="B314:B315"/>
    <mergeCell ref="B310:B311"/>
    <mergeCell ref="B308:B309"/>
    <mergeCell ref="B312:B313"/>
    <mergeCell ref="D338:D339"/>
    <mergeCell ref="D369:D370"/>
    <mergeCell ref="D352:D353"/>
    <mergeCell ref="H162:H163"/>
    <mergeCell ref="B167:B168"/>
    <mergeCell ref="C226:C227"/>
    <mergeCell ref="B222:B223"/>
    <mergeCell ref="D154:D155"/>
    <mergeCell ref="D226:D227"/>
    <mergeCell ref="D269:D270"/>
    <mergeCell ref="D261:D262"/>
    <mergeCell ref="H253:H254"/>
    <mergeCell ref="H255:H256"/>
    <mergeCell ref="H259:H260"/>
    <mergeCell ref="H269:H270"/>
    <mergeCell ref="B358:B359"/>
    <mergeCell ref="D358:D359"/>
    <mergeCell ref="B354:B355"/>
    <mergeCell ref="D354:D355"/>
    <mergeCell ref="D356:D357"/>
    <mergeCell ref="B350:B351"/>
    <mergeCell ref="B369:B370"/>
    <mergeCell ref="B356:B357"/>
    <mergeCell ref="B348:B349"/>
    <mergeCell ref="B352:B353"/>
    <mergeCell ref="B77:B78"/>
    <mergeCell ref="C77:C78"/>
    <mergeCell ref="D77:D78"/>
    <mergeCell ref="B79:B80"/>
    <mergeCell ref="C79:C80"/>
    <mergeCell ref="D79:D80"/>
    <mergeCell ref="B439:B440"/>
    <mergeCell ref="D439:D440"/>
    <mergeCell ref="B433:B434"/>
    <mergeCell ref="D433:D434"/>
    <mergeCell ref="B435:B436"/>
    <mergeCell ref="D435:D436"/>
    <mergeCell ref="B437:B438"/>
    <mergeCell ref="D437:D438"/>
    <mergeCell ref="D431:D432"/>
    <mergeCell ref="B431:B432"/>
    <mergeCell ref="D427:D428"/>
    <mergeCell ref="B421:B422"/>
    <mergeCell ref="D421:D422"/>
    <mergeCell ref="B417:B418"/>
    <mergeCell ref="B427:B428"/>
    <mergeCell ref="B425:B426"/>
    <mergeCell ref="D425:D426"/>
    <mergeCell ref="B340:B341"/>
    <mergeCell ref="B419:B420"/>
    <mergeCell ref="D419:D420"/>
    <mergeCell ref="D409:D410"/>
    <mergeCell ref="D392:D393"/>
    <mergeCell ref="B423:B424"/>
    <mergeCell ref="D423:D424"/>
    <mergeCell ref="B399:B400"/>
    <mergeCell ref="D405:D406"/>
    <mergeCell ref="D399:D400"/>
    <mergeCell ref="B403:B404"/>
    <mergeCell ref="D401:D402"/>
    <mergeCell ref="B407:B408"/>
    <mergeCell ref="B405:B406"/>
    <mergeCell ref="D394:D395"/>
    <mergeCell ref="D417:D418"/>
    <mergeCell ref="B388:B389"/>
    <mergeCell ref="B394:B395"/>
    <mergeCell ref="D407:D408"/>
    <mergeCell ref="B409:B410"/>
    <mergeCell ref="D403:D404"/>
    <mergeCell ref="B392:B393"/>
    <mergeCell ref="B371:B372"/>
    <mergeCell ref="D375:D376"/>
    <mergeCell ref="D379:D380"/>
    <mergeCell ref="D384:D385"/>
    <mergeCell ref="D386:D387"/>
    <mergeCell ref="B386:B387"/>
    <mergeCell ref="D377:D378"/>
    <mergeCell ref="D371:D372"/>
    <mergeCell ref="D373:D374"/>
    <mergeCell ref="B377:B378"/>
    <mergeCell ref="B384:B385"/>
    <mergeCell ref="B379:B380"/>
    <mergeCell ref="D388:D389"/>
    <mergeCell ref="D390:D391"/>
    <mergeCell ref="B401:B402"/>
    <mergeCell ref="B390:B391"/>
    <mergeCell ref="B373:B374"/>
    <mergeCell ref="B375:B376"/>
    <mergeCell ref="H63:H64"/>
    <mergeCell ref="H65:H66"/>
    <mergeCell ref="H67:H68"/>
    <mergeCell ref="H69:H70"/>
    <mergeCell ref="H71:H72"/>
    <mergeCell ref="H73:H74"/>
    <mergeCell ref="H79:H80"/>
    <mergeCell ref="H97:H98"/>
    <mergeCell ref="D344:D345"/>
    <mergeCell ref="D340:D341"/>
    <mergeCell ref="H265:H266"/>
    <mergeCell ref="H267:H268"/>
    <mergeCell ref="H306:H307"/>
    <mergeCell ref="H308:H309"/>
    <mergeCell ref="D281:D282"/>
    <mergeCell ref="D277:D278"/>
    <mergeCell ref="D283:D284"/>
    <mergeCell ref="D289:D290"/>
    <mergeCell ref="D291:D292"/>
    <mergeCell ref="D273:D274"/>
    <mergeCell ref="D310:D311"/>
    <mergeCell ref="D287:D288"/>
    <mergeCell ref="D279:D280"/>
    <mergeCell ref="D275:D276"/>
    <mergeCell ref="P57:P58"/>
    <mergeCell ref="P59:P60"/>
    <mergeCell ref="P211:P212"/>
    <mergeCell ref="L75:M75"/>
    <mergeCell ref="P95:P96"/>
    <mergeCell ref="P97:P98"/>
    <mergeCell ref="L77:L78"/>
    <mergeCell ref="L79:L80"/>
    <mergeCell ref="L81:L82"/>
    <mergeCell ref="P93:P94"/>
    <mergeCell ref="P101:P102"/>
    <mergeCell ref="P199:P200"/>
    <mergeCell ref="P201:P202"/>
    <mergeCell ref="P203:P204"/>
    <mergeCell ref="P205:P206"/>
    <mergeCell ref="P208:P210"/>
    <mergeCell ref="P91:P92"/>
    <mergeCell ref="P99:P100"/>
    <mergeCell ref="L184:L185"/>
    <mergeCell ref="P184:P185"/>
    <mergeCell ref="L199:L200"/>
    <mergeCell ref="L203:L204"/>
    <mergeCell ref="L205:L206"/>
    <mergeCell ref="L167:L168"/>
    <mergeCell ref="H49:H50"/>
    <mergeCell ref="H51:H52"/>
    <mergeCell ref="H53:H54"/>
    <mergeCell ref="H55:H56"/>
    <mergeCell ref="H57:H58"/>
    <mergeCell ref="C203:C204"/>
    <mergeCell ref="D216:D217"/>
    <mergeCell ref="D207:D208"/>
    <mergeCell ref="D230:D231"/>
    <mergeCell ref="C207:C208"/>
    <mergeCell ref="H201:H202"/>
    <mergeCell ref="H203:H204"/>
    <mergeCell ref="H205:H206"/>
    <mergeCell ref="C177:C178"/>
    <mergeCell ref="D182:D183"/>
    <mergeCell ref="C111:C112"/>
    <mergeCell ref="D111:D112"/>
    <mergeCell ref="C184:C185"/>
    <mergeCell ref="D184:D185"/>
    <mergeCell ref="H184:H185"/>
    <mergeCell ref="H152:H153"/>
    <mergeCell ref="H154:H155"/>
    <mergeCell ref="H156:H157"/>
    <mergeCell ref="H81:H82"/>
    <mergeCell ref="P215:P216"/>
    <mergeCell ref="D199:D200"/>
    <mergeCell ref="D205:D206"/>
    <mergeCell ref="P213:P214"/>
    <mergeCell ref="P217:P218"/>
    <mergeCell ref="P219:P220"/>
    <mergeCell ref="P221:P222"/>
    <mergeCell ref="B330:B331"/>
    <mergeCell ref="B287:B288"/>
    <mergeCell ref="B295:B296"/>
    <mergeCell ref="B289:B290"/>
    <mergeCell ref="B291:B292"/>
    <mergeCell ref="B297:B298"/>
    <mergeCell ref="B267:B268"/>
    <mergeCell ref="D322:D323"/>
    <mergeCell ref="B306:B307"/>
    <mergeCell ref="B269:B270"/>
    <mergeCell ref="D293:D294"/>
    <mergeCell ref="D295:D296"/>
    <mergeCell ref="D330:D331"/>
    <mergeCell ref="D326:D327"/>
    <mergeCell ref="B316:B317"/>
    <mergeCell ref="D320:D321"/>
    <mergeCell ref="D308:D309"/>
    <mergeCell ref="B293:B294"/>
    <mergeCell ref="B283:B284"/>
    <mergeCell ref="B275:B276"/>
    <mergeCell ref="B279:B280"/>
    <mergeCell ref="B277:B278"/>
    <mergeCell ref="B273:B274"/>
    <mergeCell ref="B281:B282"/>
    <mergeCell ref="B265:B266"/>
    <mergeCell ref="D265:D266"/>
    <mergeCell ref="D267:D268"/>
    <mergeCell ref="B83:B84"/>
    <mergeCell ref="C83:C84"/>
    <mergeCell ref="D83:D84"/>
    <mergeCell ref="H83:H84"/>
    <mergeCell ref="L83:L84"/>
    <mergeCell ref="B85:B86"/>
    <mergeCell ref="C85:C86"/>
    <mergeCell ref="D85:D86"/>
    <mergeCell ref="H85:H86"/>
    <mergeCell ref="L85:L86"/>
    <mergeCell ref="C87:C88"/>
    <mergeCell ref="D87:D88"/>
    <mergeCell ref="H87:H88"/>
    <mergeCell ref="L87:L88"/>
    <mergeCell ref="B91:B92"/>
    <mergeCell ref="C91:C92"/>
    <mergeCell ref="D91:D92"/>
    <mergeCell ref="H91:H92"/>
    <mergeCell ref="C99:C100"/>
    <mergeCell ref="D99:D100"/>
    <mergeCell ref="H99:H100"/>
    <mergeCell ref="B87:B88"/>
    <mergeCell ref="H101:H102"/>
    <mergeCell ref="B93:B94"/>
    <mergeCell ref="C93:C94"/>
    <mergeCell ref="D93:D94"/>
    <mergeCell ref="H93:H94"/>
    <mergeCell ref="B95:B96"/>
    <mergeCell ref="C95:C96"/>
    <mergeCell ref="D95:D96"/>
    <mergeCell ref="H95:H96"/>
    <mergeCell ref="B97:B98"/>
    <mergeCell ref="C97:C98"/>
    <mergeCell ref="D97:D98"/>
    <mergeCell ref="B101:B102"/>
    <mergeCell ref="C101:C102"/>
    <mergeCell ref="D101:D102"/>
    <mergeCell ref="C109:C110"/>
    <mergeCell ref="D109:D110"/>
    <mergeCell ref="B99:B100"/>
    <mergeCell ref="B105:B106"/>
    <mergeCell ref="C105:C106"/>
    <mergeCell ref="D105:D106"/>
    <mergeCell ref="B107:B108"/>
    <mergeCell ref="C107:C108"/>
    <mergeCell ref="D107:D108"/>
    <mergeCell ref="C154:C155"/>
    <mergeCell ref="B162:B163"/>
    <mergeCell ref="B169:B170"/>
    <mergeCell ref="C162:C163"/>
    <mergeCell ref="C158:C159"/>
    <mergeCell ref="D173:D174"/>
    <mergeCell ref="D177:D178"/>
    <mergeCell ref="H167:H168"/>
    <mergeCell ref="H169:H170"/>
    <mergeCell ref="H171:H172"/>
    <mergeCell ref="H173:H174"/>
    <mergeCell ref="D171:D172"/>
    <mergeCell ref="H175:H176"/>
    <mergeCell ref="H177:H178"/>
    <mergeCell ref="B171:B172"/>
    <mergeCell ref="B173:B174"/>
    <mergeCell ref="D169:D170"/>
    <mergeCell ref="H158:H159"/>
    <mergeCell ref="H160:H161"/>
    <mergeCell ref="H186:H187"/>
    <mergeCell ref="L186:L187"/>
    <mergeCell ref="P186:P187"/>
    <mergeCell ref="B186:B187"/>
    <mergeCell ref="C186:C187"/>
    <mergeCell ref="L182:L183"/>
    <mergeCell ref="P182:P183"/>
    <mergeCell ref="H182:H183"/>
    <mergeCell ref="B184:B185"/>
    <mergeCell ref="H192:H193"/>
    <mergeCell ref="L192:L193"/>
    <mergeCell ref="P192:P193"/>
    <mergeCell ref="B188:B189"/>
    <mergeCell ref="C188:C189"/>
    <mergeCell ref="D188:D189"/>
    <mergeCell ref="H188:H189"/>
    <mergeCell ref="L188:L189"/>
    <mergeCell ref="P188:P189"/>
    <mergeCell ref="B190:B191"/>
    <mergeCell ref="C190:C191"/>
    <mergeCell ref="D190:D191"/>
    <mergeCell ref="H190:H191"/>
    <mergeCell ref="L190:L191"/>
    <mergeCell ref="P190:P191"/>
  </mergeCells>
  <phoneticPr fontId="2"/>
  <pageMargins left="0.59055118110236227" right="0.59055118110236227" top="0.55118110236220474" bottom="0.59055118110236227" header="0.51181102362204722" footer="0.51181102362204722"/>
  <pageSetup paperSize="9" scale="63" fitToHeight="5" orientation="portrait" r:id="rId1"/>
  <headerFooter alignWithMargins="0"/>
  <rowBreaks count="4" manualBreakCount="4">
    <brk id="88" min="1" max="17" man="1"/>
    <brk id="238" min="1" max="17" man="1"/>
    <brk id="332" min="1" max="17" man="1"/>
    <brk id="362" min="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6"/>
  <sheetViews>
    <sheetView workbookViewId="0">
      <selection sqref="A1:M1"/>
    </sheetView>
    <sheetView workbookViewId="1">
      <selection sqref="A1:M1"/>
    </sheetView>
  </sheetViews>
  <sheetFormatPr defaultColWidth="8.90625" defaultRowHeight="13"/>
  <cols>
    <col min="1" max="4" width="8.90625" style="114"/>
    <col min="5" max="6" width="8.90625" style="113"/>
    <col min="7" max="11" width="8.90625" style="114"/>
    <col min="12" max="13" width="8.90625" style="113"/>
    <col min="14" max="16384" width="8.90625" style="114"/>
  </cols>
  <sheetData>
    <row r="1" spans="1:13" ht="16.5">
      <c r="A1" s="382" t="s">
        <v>77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>
      <c r="A2" s="125"/>
      <c r="B2" s="125"/>
      <c r="C2" s="126"/>
      <c r="D2" s="125"/>
      <c r="E2" s="126"/>
      <c r="F2" s="126"/>
      <c r="G2" s="125"/>
      <c r="H2" s="125"/>
      <c r="I2" s="125"/>
      <c r="J2" s="126"/>
      <c r="K2" s="125"/>
      <c r="L2" s="126"/>
      <c r="M2" s="126"/>
    </row>
    <row r="3" spans="1:13" ht="16.5">
      <c r="A3" s="127" t="s">
        <v>78</v>
      </c>
      <c r="B3" s="127"/>
      <c r="C3" s="128"/>
      <c r="D3" s="127"/>
      <c r="E3" s="128"/>
      <c r="F3" s="128"/>
      <c r="G3" s="127"/>
      <c r="H3" s="127"/>
      <c r="I3" s="127"/>
      <c r="J3" s="128"/>
      <c r="K3" s="127"/>
      <c r="L3" s="128"/>
      <c r="M3" s="128"/>
    </row>
    <row r="4" spans="1:13" ht="13.5" thickBot="1">
      <c r="A4" s="125"/>
      <c r="B4" s="125"/>
      <c r="C4" s="126"/>
      <c r="D4" s="125"/>
      <c r="E4" s="126"/>
      <c r="F4" s="126"/>
      <c r="G4" s="125"/>
      <c r="H4" s="125"/>
      <c r="I4" s="125"/>
      <c r="J4" s="126"/>
      <c r="K4" s="125"/>
      <c r="L4" s="126"/>
      <c r="M4" s="126"/>
    </row>
    <row r="5" spans="1:13" ht="13.5" thickBot="1">
      <c r="A5" s="129" t="s">
        <v>4</v>
      </c>
      <c r="B5" s="410" t="str">
        <f>VLOOKUP(1,'１×Ｍ'!B3:K3,2)</f>
        <v>浜松西高校</v>
      </c>
      <c r="C5" s="411" t="e">
        <v>#N/A</v>
      </c>
      <c r="D5" s="130" t="s">
        <v>46</v>
      </c>
      <c r="E5" s="155" t="str">
        <f>VLOOKUP(1,'１×Ｍ'!B3:K3,9)</f>
        <v>上西</v>
      </c>
      <c r="F5" s="156" t="str">
        <f>VLOOKUP(1,'１×Ｍ'!B3:L3,10)</f>
        <v>智紀</v>
      </c>
      <c r="G5" s="125"/>
      <c r="H5" s="129" t="s">
        <v>4</v>
      </c>
      <c r="I5" s="410" t="str">
        <f>VLOOKUP(2,'１×Ｍ'!B4:K4,2)</f>
        <v>沼津工業高校A</v>
      </c>
      <c r="J5" s="411" t="e">
        <v>#N/A</v>
      </c>
      <c r="K5" s="130" t="s">
        <v>21</v>
      </c>
      <c r="L5" s="155" t="str">
        <f>VLOOKUP(2,'１×Ｍ'!B4:K4,9)</f>
        <v>植松</v>
      </c>
      <c r="M5" s="156" t="str">
        <f>VLOOKUP(2,'１×Ｍ'!B4:L4,10)</f>
        <v>聖陽</v>
      </c>
    </row>
    <row r="6" spans="1:13">
      <c r="A6" s="131" t="s">
        <v>5</v>
      </c>
      <c r="B6" s="132" t="s">
        <v>18</v>
      </c>
      <c r="C6" s="133" t="s">
        <v>20</v>
      </c>
      <c r="D6" s="132" t="s">
        <v>43</v>
      </c>
      <c r="E6" s="134"/>
      <c r="F6" s="135"/>
      <c r="G6" s="125"/>
      <c r="H6" s="131" t="s">
        <v>22</v>
      </c>
      <c r="I6" s="132" t="s">
        <v>17</v>
      </c>
      <c r="J6" s="133" t="s">
        <v>19</v>
      </c>
      <c r="K6" s="132" t="s">
        <v>23</v>
      </c>
      <c r="L6" s="134"/>
      <c r="M6" s="135"/>
    </row>
    <row r="7" spans="1:13" ht="13.5" thickBot="1">
      <c r="A7" s="136" t="s">
        <v>8</v>
      </c>
      <c r="B7" s="137" t="str">
        <f>VLOOKUP(1,'１×Ｍ'!B3:K3,4)</f>
        <v>青山</v>
      </c>
      <c r="C7" s="138" t="str">
        <f>VLOOKUP(1,'１×Ｍ'!B3:K3,5)</f>
        <v>純也</v>
      </c>
      <c r="D7" s="137">
        <f>VLOOKUP(1,'１×Ｍ'!B3:K3,6)</f>
        <v>2</v>
      </c>
      <c r="E7" s="139"/>
      <c r="F7" s="15"/>
      <c r="G7" s="125"/>
      <c r="H7" s="136" t="s">
        <v>24</v>
      </c>
      <c r="I7" s="137" t="str">
        <f>VLOOKUP(2,'１×Ｍ'!B4:K4,4)</f>
        <v>佐々木</v>
      </c>
      <c r="J7" s="138" t="str">
        <f>VLOOKUP(2,'１×Ｍ'!B4:K4,5)</f>
        <v>吾瀧</v>
      </c>
      <c r="K7" s="137">
        <f>VLOOKUP(2,'１×Ｍ'!B4:K4,6)</f>
        <v>3</v>
      </c>
      <c r="L7" s="139"/>
      <c r="M7" s="15"/>
    </row>
    <row r="8" spans="1:13" ht="13.5" thickBot="1">
      <c r="A8" s="125"/>
      <c r="B8" s="125"/>
      <c r="C8" s="126"/>
      <c r="D8" s="126"/>
      <c r="E8" s="126"/>
      <c r="F8" s="126"/>
      <c r="G8" s="125"/>
      <c r="H8" s="125"/>
      <c r="I8" s="125"/>
      <c r="J8" s="126"/>
      <c r="K8" s="125"/>
      <c r="L8" s="126"/>
      <c r="M8" s="126"/>
    </row>
    <row r="9" spans="1:13" ht="13.5" thickBot="1">
      <c r="A9" s="129" t="s">
        <v>4</v>
      </c>
      <c r="B9" s="410" t="str">
        <f>VLOOKUP(3,'１×Ｍ'!B5:K5,2)</f>
        <v>沼津工業高校B</v>
      </c>
      <c r="C9" s="411" t="e">
        <v>#N/A</v>
      </c>
      <c r="D9" s="130" t="s">
        <v>21</v>
      </c>
      <c r="E9" s="155" t="str">
        <f>VLOOKUP(3,'１×Ｍ'!B5:K5,9)</f>
        <v>植松</v>
      </c>
      <c r="F9" s="156" t="str">
        <f>VLOOKUP(3,'１×Ｍ'!B5:L5,10)</f>
        <v>聖陽</v>
      </c>
      <c r="G9" s="125"/>
      <c r="H9" s="129" t="s">
        <v>4</v>
      </c>
      <c r="I9" s="410" t="str">
        <f>VLOOKUP(4,'１×Ｍ'!B6:K6,2)</f>
        <v>沼津工業高校C</v>
      </c>
      <c r="J9" s="411" t="e">
        <v>#N/A</v>
      </c>
      <c r="K9" s="130" t="s">
        <v>21</v>
      </c>
      <c r="L9" s="155" t="str">
        <f>VLOOKUP(4,'１×Ｍ'!B6:K6,9)</f>
        <v>植松</v>
      </c>
      <c r="M9" s="156" t="str">
        <f>VLOOKUP(4,'１×Ｍ'!B6:L6,10)</f>
        <v>聖陽</v>
      </c>
    </row>
    <row r="10" spans="1:13">
      <c r="A10" s="131" t="s">
        <v>22</v>
      </c>
      <c r="B10" s="132" t="s">
        <v>17</v>
      </c>
      <c r="C10" s="133" t="s">
        <v>19</v>
      </c>
      <c r="D10" s="132" t="s">
        <v>23</v>
      </c>
      <c r="E10" s="134"/>
      <c r="F10" s="135"/>
      <c r="G10" s="125"/>
      <c r="H10" s="131" t="s">
        <v>22</v>
      </c>
      <c r="I10" s="132" t="s">
        <v>17</v>
      </c>
      <c r="J10" s="133" t="s">
        <v>19</v>
      </c>
      <c r="K10" s="132" t="s">
        <v>23</v>
      </c>
      <c r="L10" s="134"/>
      <c r="M10" s="135"/>
    </row>
    <row r="11" spans="1:13" ht="13.5" thickBot="1">
      <c r="A11" s="136" t="s">
        <v>24</v>
      </c>
      <c r="B11" s="137" t="str">
        <f>VLOOKUP(3,'１×Ｍ'!B5:K5,4)</f>
        <v>牧本</v>
      </c>
      <c r="C11" s="138" t="str">
        <f>VLOOKUP(3,'１×Ｍ'!B5:K5,5)</f>
        <v>拓磨</v>
      </c>
      <c r="D11" s="137">
        <f>VLOOKUP(3,'１×Ｍ'!B5:K5,6)</f>
        <v>3</v>
      </c>
      <c r="E11" s="139"/>
      <c r="F11" s="15"/>
      <c r="G11" s="125"/>
      <c r="H11" s="136" t="s">
        <v>24</v>
      </c>
      <c r="I11" s="137" t="str">
        <f>VLOOKUP(4,'１×Ｍ'!B6:K6,4)</f>
        <v>小坂</v>
      </c>
      <c r="J11" s="138" t="str">
        <f>VLOOKUP(4,'１×Ｍ'!B6:K6,5)</f>
        <v>響己</v>
      </c>
      <c r="K11" s="137">
        <f>VLOOKUP(4,'１×Ｍ'!B6:K6,6)</f>
        <v>3</v>
      </c>
      <c r="L11" s="139"/>
      <c r="M11" s="15"/>
    </row>
    <row r="12" spans="1:13" ht="13.5" thickBot="1">
      <c r="A12" s="125"/>
      <c r="B12" s="125"/>
      <c r="C12" s="126"/>
      <c r="D12" s="126"/>
      <c r="E12" s="126"/>
      <c r="F12" s="126"/>
      <c r="G12" s="125"/>
      <c r="H12" s="125"/>
      <c r="I12" s="125"/>
      <c r="J12" s="126"/>
      <c r="K12" s="125"/>
      <c r="L12" s="126"/>
      <c r="M12" s="126"/>
    </row>
    <row r="13" spans="1:13" ht="13.5" thickBot="1">
      <c r="A13" s="129" t="s">
        <v>16</v>
      </c>
      <c r="B13" s="410" t="str">
        <f>VLOOKUP(5,'１×Ｍ'!B7:K7,2)</f>
        <v>沼津工業高校D</v>
      </c>
      <c r="C13" s="411" t="e">
        <v>#N/A</v>
      </c>
      <c r="D13" s="130" t="s">
        <v>21</v>
      </c>
      <c r="E13" s="155" t="str">
        <f>VLOOKUP(5,'１×Ｍ'!B7:K7,9)</f>
        <v>植松</v>
      </c>
      <c r="F13" s="156" t="str">
        <f>VLOOKUP(5,'１×Ｍ'!B7:L7,10)</f>
        <v>聖陽</v>
      </c>
      <c r="G13" s="125"/>
      <c r="H13" s="129" t="s">
        <v>16</v>
      </c>
      <c r="I13" s="410" t="str">
        <f>VLOOKUP(6,'１×Ｍ'!B8:K8,2)</f>
        <v>湖西高校A</v>
      </c>
      <c r="J13" s="411" t="e">
        <v>#N/A</v>
      </c>
      <c r="K13" s="130" t="s">
        <v>21</v>
      </c>
      <c r="L13" s="155" t="str">
        <f>VLOOKUP(6,'１×Ｍ'!B8:K8,9)</f>
        <v>鈴木</v>
      </c>
      <c r="M13" s="156" t="str">
        <f>VLOOKUP(6,'１×Ｍ'!B8:L8,10)</f>
        <v>研也</v>
      </c>
    </row>
    <row r="14" spans="1:13">
      <c r="A14" s="131" t="s">
        <v>22</v>
      </c>
      <c r="B14" s="132" t="s">
        <v>17</v>
      </c>
      <c r="C14" s="133" t="s">
        <v>19</v>
      </c>
      <c r="D14" s="132" t="s">
        <v>23</v>
      </c>
      <c r="E14" s="134"/>
      <c r="F14" s="135"/>
      <c r="G14" s="125"/>
      <c r="H14" s="131" t="s">
        <v>22</v>
      </c>
      <c r="I14" s="132" t="s">
        <v>17</v>
      </c>
      <c r="J14" s="133" t="s">
        <v>19</v>
      </c>
      <c r="K14" s="132" t="s">
        <v>23</v>
      </c>
      <c r="L14" s="134"/>
      <c r="M14" s="135"/>
    </row>
    <row r="15" spans="1:13" ht="13.5" thickBot="1">
      <c r="A15" s="136" t="s">
        <v>24</v>
      </c>
      <c r="B15" s="137" t="str">
        <f>VLOOKUP(5,'１×Ｍ'!B7:K7,4)</f>
        <v>勝又</v>
      </c>
      <c r="C15" s="138" t="str">
        <f>VLOOKUP(5,'１×Ｍ'!B7:K7,5)</f>
        <v>風雅</v>
      </c>
      <c r="D15" s="137">
        <f>VLOOKUP(5,'１×Ｍ'!B7:K7,6)</f>
        <v>2</v>
      </c>
      <c r="E15" s="139"/>
      <c r="F15" s="15"/>
      <c r="G15" s="125"/>
      <c r="H15" s="136" t="s">
        <v>24</v>
      </c>
      <c r="I15" s="137" t="str">
        <f>VLOOKUP(6,'１×Ｍ'!B8:K8,4)</f>
        <v>石田</v>
      </c>
      <c r="J15" s="138" t="str">
        <f>VLOOKUP(6,'１×Ｍ'!B8:K8,5)</f>
        <v>覚士</v>
      </c>
      <c r="K15" s="137">
        <f>VLOOKUP(6,'１×Ｍ'!B8:K8,6)</f>
        <v>2</v>
      </c>
      <c r="L15" s="139"/>
      <c r="M15" s="15"/>
    </row>
    <row r="16" spans="1:13" ht="13.5" thickBot="1">
      <c r="A16" s="125"/>
      <c r="B16" s="125"/>
      <c r="C16" s="126"/>
      <c r="D16" s="125"/>
      <c r="E16" s="126"/>
      <c r="F16" s="126"/>
      <c r="G16" s="125"/>
      <c r="H16" s="125"/>
      <c r="I16" s="125"/>
      <c r="J16" s="126"/>
      <c r="K16" s="125"/>
      <c r="L16" s="126"/>
      <c r="M16" s="126"/>
    </row>
    <row r="17" spans="1:13" ht="13.5" thickBot="1">
      <c r="A17" s="129" t="s">
        <v>16</v>
      </c>
      <c r="B17" s="410" t="str">
        <f>VLOOKUP(7,'１×Ｍ'!B9:K9,2)</f>
        <v>湖西高校B</v>
      </c>
      <c r="C17" s="411" t="e">
        <v>#N/A</v>
      </c>
      <c r="D17" s="130" t="s">
        <v>21</v>
      </c>
      <c r="E17" s="155" t="str">
        <f>VLOOKUP(7,'１×Ｍ'!B9:K9,9)</f>
        <v>鈴木</v>
      </c>
      <c r="F17" s="156" t="str">
        <f>VLOOKUP(7,'１×Ｍ'!B9:L9,10)</f>
        <v>研也</v>
      </c>
      <c r="G17" s="125"/>
      <c r="H17" s="129" t="s">
        <v>16</v>
      </c>
      <c r="I17" s="410" t="str">
        <f>VLOOKUP(8,'１×Ｍ'!B10:K10,2)</f>
        <v>湖西高校C</v>
      </c>
      <c r="J17" s="411" t="e">
        <v>#N/A</v>
      </c>
      <c r="K17" s="130" t="s">
        <v>21</v>
      </c>
      <c r="L17" s="155" t="str">
        <f>VLOOKUP(8,'１×Ｍ'!B10:K10,9)</f>
        <v>鈴木</v>
      </c>
      <c r="M17" s="156" t="str">
        <f>VLOOKUP(8,'１×Ｍ'!B10:L10,10)</f>
        <v>研也</v>
      </c>
    </row>
    <row r="18" spans="1:13">
      <c r="A18" s="131" t="s">
        <v>22</v>
      </c>
      <c r="B18" s="132" t="s">
        <v>17</v>
      </c>
      <c r="C18" s="133" t="s">
        <v>19</v>
      </c>
      <c r="D18" s="132" t="s">
        <v>23</v>
      </c>
      <c r="E18" s="134"/>
      <c r="F18" s="135"/>
      <c r="G18" s="125"/>
      <c r="H18" s="131" t="s">
        <v>22</v>
      </c>
      <c r="I18" s="132" t="s">
        <v>17</v>
      </c>
      <c r="J18" s="133" t="s">
        <v>19</v>
      </c>
      <c r="K18" s="132" t="s">
        <v>23</v>
      </c>
      <c r="L18" s="134"/>
      <c r="M18" s="135"/>
    </row>
    <row r="19" spans="1:13" ht="13.5" thickBot="1">
      <c r="A19" s="136" t="s">
        <v>24</v>
      </c>
      <c r="B19" s="137" t="str">
        <f>VLOOKUP(7,'１×Ｍ'!B9:K9,4)</f>
        <v>守屋</v>
      </c>
      <c r="C19" s="138" t="str">
        <f>VLOOKUP(7,'１×Ｍ'!B9:K9,5)</f>
        <v>拓人</v>
      </c>
      <c r="D19" s="137">
        <f>VLOOKUP(7,'１×Ｍ'!B9:K9,6)</f>
        <v>2</v>
      </c>
      <c r="E19" s="139"/>
      <c r="F19" s="15"/>
      <c r="G19" s="125"/>
      <c r="H19" s="136" t="s">
        <v>24</v>
      </c>
      <c r="I19" s="137" t="str">
        <f>VLOOKUP(8,'１×Ｍ'!B10:K10,4)</f>
        <v>中村</v>
      </c>
      <c r="J19" s="138" t="str">
        <f>VLOOKUP(8,'１×Ｍ'!B10:K10,5)</f>
        <v>晟也</v>
      </c>
      <c r="K19" s="137">
        <f>VLOOKUP(8,'１×Ｍ'!B10:K10,6)</f>
        <v>2</v>
      </c>
      <c r="L19" s="139"/>
      <c r="M19" s="15"/>
    </row>
    <row r="20" spans="1:13" ht="13.5" thickBot="1">
      <c r="A20" s="125"/>
      <c r="B20" s="125"/>
      <c r="C20" s="126"/>
      <c r="D20" s="125"/>
      <c r="E20" s="126"/>
      <c r="F20" s="126"/>
      <c r="G20" s="125"/>
      <c r="H20" s="125"/>
      <c r="I20" s="125"/>
      <c r="J20" s="126"/>
      <c r="K20" s="125"/>
      <c r="L20" s="126"/>
      <c r="M20" s="126"/>
    </row>
    <row r="21" spans="1:13" ht="13.5" thickBot="1">
      <c r="A21" s="129" t="s">
        <v>16</v>
      </c>
      <c r="B21" s="410" t="str">
        <f>VLOOKUP(9,'１×Ｍ'!B11:K11,2)</f>
        <v>新居高校A</v>
      </c>
      <c r="C21" s="411" t="e">
        <v>#N/A</v>
      </c>
      <c r="D21" s="130" t="s">
        <v>21</v>
      </c>
      <c r="E21" s="155" t="str">
        <f>VLOOKUP(9,'１×Ｍ'!B11:K11,9)</f>
        <v>増田</v>
      </c>
      <c r="F21" s="156" t="str">
        <f>VLOOKUP(9,'１×Ｍ'!B11:L11,10)</f>
        <v>夏美</v>
      </c>
      <c r="G21" s="125"/>
      <c r="H21" s="129" t="s">
        <v>16</v>
      </c>
      <c r="I21" s="410" t="str">
        <f>VLOOKUP(10,'１×Ｍ'!B12:K12,2)</f>
        <v>新居高校B</v>
      </c>
      <c r="J21" s="411" t="e">
        <v>#N/A</v>
      </c>
      <c r="K21" s="130" t="s">
        <v>21</v>
      </c>
      <c r="L21" s="155" t="str">
        <f>VLOOKUP(10,'１×Ｍ'!B12:K12,9)</f>
        <v>増田</v>
      </c>
      <c r="M21" s="156" t="str">
        <f>VLOOKUP(10,'１×Ｍ'!B12:L12,10)</f>
        <v>夏美</v>
      </c>
    </row>
    <row r="22" spans="1:13">
      <c r="A22" s="131" t="s">
        <v>22</v>
      </c>
      <c r="B22" s="132" t="s">
        <v>17</v>
      </c>
      <c r="C22" s="133" t="s">
        <v>19</v>
      </c>
      <c r="D22" s="132" t="s">
        <v>23</v>
      </c>
      <c r="E22" s="134"/>
      <c r="F22" s="135"/>
      <c r="G22" s="125"/>
      <c r="H22" s="131" t="s">
        <v>22</v>
      </c>
      <c r="I22" s="132" t="s">
        <v>17</v>
      </c>
      <c r="J22" s="133" t="s">
        <v>19</v>
      </c>
      <c r="K22" s="132" t="s">
        <v>23</v>
      </c>
      <c r="L22" s="134"/>
      <c r="M22" s="135"/>
    </row>
    <row r="23" spans="1:13" ht="13.5" thickBot="1">
      <c r="A23" s="136" t="s">
        <v>24</v>
      </c>
      <c r="B23" s="137" t="str">
        <f>VLOOKUP(9,'１×Ｍ'!B11:K11,4)</f>
        <v>髙部</v>
      </c>
      <c r="C23" s="138" t="str">
        <f>VLOOKUP(9,'１×Ｍ'!B11:K11,5)</f>
        <v>侑汰</v>
      </c>
      <c r="D23" s="137">
        <f>VLOOKUP(9,'１×Ｍ'!B11:K11,6)</f>
        <v>3</v>
      </c>
      <c r="E23" s="139"/>
      <c r="F23" s="15"/>
      <c r="G23" s="125"/>
      <c r="H23" s="136" t="s">
        <v>24</v>
      </c>
      <c r="I23" s="137" t="str">
        <f>VLOOKUP(10,'１×Ｍ'!B12:K12,4)</f>
        <v>河野</v>
      </c>
      <c r="J23" s="138" t="str">
        <f>VLOOKUP(10,'１×Ｍ'!B12:K12,5)</f>
        <v>大翔</v>
      </c>
      <c r="K23" s="137">
        <f>VLOOKUP(10,'１×Ｍ'!B12:K12,6)</f>
        <v>3</v>
      </c>
      <c r="L23" s="139"/>
      <c r="M23" s="15"/>
    </row>
    <row r="24" spans="1:13" ht="13.5" thickBot="1">
      <c r="A24" s="125"/>
      <c r="B24" s="125"/>
      <c r="C24" s="126"/>
      <c r="D24" s="126"/>
      <c r="E24" s="126"/>
      <c r="F24" s="126"/>
      <c r="G24" s="125"/>
      <c r="H24" s="125"/>
      <c r="I24" s="125"/>
      <c r="J24" s="126"/>
      <c r="K24" s="125"/>
      <c r="L24" s="126"/>
      <c r="M24" s="126"/>
    </row>
    <row r="25" spans="1:13" ht="13.5" thickBot="1">
      <c r="A25" s="129" t="s">
        <v>16</v>
      </c>
      <c r="B25" s="410" t="str">
        <f>VLOOKUP(11,'１×Ｍ'!B13:K13,2)</f>
        <v>新居高校C</v>
      </c>
      <c r="C25" s="411" t="e">
        <v>#N/A</v>
      </c>
      <c r="D25" s="130" t="s">
        <v>21</v>
      </c>
      <c r="E25" s="155" t="str">
        <f>VLOOKUP(11,'１×Ｍ'!B13:K13,9)</f>
        <v>増田</v>
      </c>
      <c r="F25" s="156" t="str">
        <f>VLOOKUP(11,'１×Ｍ'!B13:L13,10)</f>
        <v>夏美</v>
      </c>
      <c r="G25" s="125"/>
      <c r="H25" s="129" t="s">
        <v>16</v>
      </c>
      <c r="I25" s="410" t="str">
        <f>VLOOKUP(12,'１×Ｍ'!B14:K14,2)</f>
        <v>新居高校D</v>
      </c>
      <c r="J25" s="411" t="e">
        <v>#N/A</v>
      </c>
      <c r="K25" s="130" t="s">
        <v>21</v>
      </c>
      <c r="L25" s="155" t="str">
        <f>VLOOKUP(12,'１×Ｍ'!B14:K14,9)</f>
        <v>増田</v>
      </c>
      <c r="M25" s="156" t="str">
        <f>VLOOKUP(12,'１×Ｍ'!B14:L14,10)</f>
        <v>夏美</v>
      </c>
    </row>
    <row r="26" spans="1:13">
      <c r="A26" s="131" t="s">
        <v>22</v>
      </c>
      <c r="B26" s="132" t="s">
        <v>17</v>
      </c>
      <c r="C26" s="133" t="s">
        <v>19</v>
      </c>
      <c r="D26" s="132" t="s">
        <v>23</v>
      </c>
      <c r="E26" s="134"/>
      <c r="F26" s="135"/>
      <c r="G26" s="125"/>
      <c r="H26" s="131" t="s">
        <v>22</v>
      </c>
      <c r="I26" s="132" t="s">
        <v>17</v>
      </c>
      <c r="J26" s="133" t="s">
        <v>19</v>
      </c>
      <c r="K26" s="132" t="s">
        <v>23</v>
      </c>
      <c r="L26" s="134"/>
      <c r="M26" s="135"/>
    </row>
    <row r="27" spans="1:13" ht="13.5" thickBot="1">
      <c r="A27" s="136" t="s">
        <v>24</v>
      </c>
      <c r="B27" s="137" t="str">
        <f>VLOOKUP(11,'１×Ｍ'!B13:K13,4)</f>
        <v>河尻</v>
      </c>
      <c r="C27" s="138" t="str">
        <f>VLOOKUP(11,'１×Ｍ'!B13:K13,5)</f>
        <v>想太</v>
      </c>
      <c r="D27" s="137">
        <f>VLOOKUP(11,'１×Ｍ'!B13:K13,6)</f>
        <v>3</v>
      </c>
      <c r="E27" s="139"/>
      <c r="F27" s="15"/>
      <c r="G27" s="125"/>
      <c r="H27" s="136" t="s">
        <v>24</v>
      </c>
      <c r="I27" s="137" t="str">
        <f>VLOOKUP(12,'１×Ｍ'!B14:K14,4)</f>
        <v>髙野</v>
      </c>
      <c r="J27" s="138" t="str">
        <f>VLOOKUP(12,'１×Ｍ'!B14:K14,5)</f>
        <v>龍也</v>
      </c>
      <c r="K27" s="137">
        <f>VLOOKUP(12,'１×Ｍ'!B14:K14,6)</f>
        <v>3</v>
      </c>
      <c r="L27" s="139"/>
      <c r="M27" s="15"/>
    </row>
    <row r="28" spans="1:13" ht="13.5" thickBot="1">
      <c r="A28" s="125"/>
      <c r="B28" s="125"/>
      <c r="C28" s="126"/>
      <c r="D28" s="126"/>
      <c r="E28" s="126"/>
      <c r="F28" s="126"/>
      <c r="G28" s="125"/>
      <c r="H28" s="125"/>
      <c r="I28" s="125"/>
      <c r="J28" s="126"/>
      <c r="K28" s="125"/>
      <c r="L28" s="126"/>
      <c r="M28" s="126"/>
    </row>
    <row r="29" spans="1:13" ht="13.5" thickBot="1">
      <c r="A29" s="129" t="s">
        <v>16</v>
      </c>
      <c r="B29" s="410" t="str">
        <f>VLOOKUP(13,'１×Ｍ'!B15:K15,2)</f>
        <v>新居高校E</v>
      </c>
      <c r="C29" s="411" t="e">
        <v>#N/A</v>
      </c>
      <c r="D29" s="130" t="s">
        <v>21</v>
      </c>
      <c r="E29" s="155" t="str">
        <f>VLOOKUP(13,'１×Ｍ'!B15:K15,9)</f>
        <v>増田</v>
      </c>
      <c r="F29" s="156" t="str">
        <f>VLOOKUP(13,'１×Ｍ'!B15:L15,10)</f>
        <v>夏美</v>
      </c>
      <c r="G29" s="125"/>
      <c r="H29" s="129" t="s">
        <v>16</v>
      </c>
      <c r="I29" s="410" t="str">
        <f>VLOOKUP(14,'１×Ｍ'!B16:K16,2)</f>
        <v>新居高校F</v>
      </c>
      <c r="J29" s="411" t="e">
        <v>#N/A</v>
      </c>
      <c r="K29" s="130" t="s">
        <v>21</v>
      </c>
      <c r="L29" s="155" t="str">
        <f>VLOOKUP(14,'１×Ｍ'!B16:K16,9)</f>
        <v>増田</v>
      </c>
      <c r="M29" s="156" t="str">
        <f>VLOOKUP(14,'１×Ｍ'!B16:L16,10)</f>
        <v>夏美</v>
      </c>
    </row>
    <row r="30" spans="1:13">
      <c r="A30" s="131" t="s">
        <v>22</v>
      </c>
      <c r="B30" s="132" t="s">
        <v>17</v>
      </c>
      <c r="C30" s="133" t="s">
        <v>19</v>
      </c>
      <c r="D30" s="132" t="s">
        <v>23</v>
      </c>
      <c r="E30" s="134"/>
      <c r="F30" s="135"/>
      <c r="G30" s="125"/>
      <c r="H30" s="131" t="s">
        <v>22</v>
      </c>
      <c r="I30" s="132" t="s">
        <v>17</v>
      </c>
      <c r="J30" s="133" t="s">
        <v>19</v>
      </c>
      <c r="K30" s="132" t="s">
        <v>23</v>
      </c>
      <c r="L30" s="134"/>
      <c r="M30" s="135"/>
    </row>
    <row r="31" spans="1:13" ht="13.5" thickBot="1">
      <c r="A31" s="136" t="s">
        <v>24</v>
      </c>
      <c r="B31" s="137" t="str">
        <f>VLOOKUP(13,'１×Ｍ'!B15:K15,4)</f>
        <v>藤田</v>
      </c>
      <c r="C31" s="138" t="str">
        <f>VLOOKUP(13,'１×Ｍ'!B15:K15,5)</f>
        <v>翔</v>
      </c>
      <c r="D31" s="137">
        <f>VLOOKUP(13,'１×Ｍ'!B15:K15,6)</f>
        <v>3</v>
      </c>
      <c r="E31" s="139"/>
      <c r="F31" s="15"/>
      <c r="G31" s="125"/>
      <c r="H31" s="136" t="s">
        <v>24</v>
      </c>
      <c r="I31" s="137" t="str">
        <f>VLOOKUP(14,'１×Ｍ'!B16:K16,4)</f>
        <v>倉井</v>
      </c>
      <c r="J31" s="138" t="str">
        <f>VLOOKUP(14,'１×Ｍ'!B16:K16,5)</f>
        <v>爽汰</v>
      </c>
      <c r="K31" s="137">
        <f>VLOOKUP(14,'１×Ｍ'!B16:K16,6)</f>
        <v>3</v>
      </c>
      <c r="L31" s="139"/>
      <c r="M31" s="15"/>
    </row>
    <row r="32" spans="1:13" ht="13.5" thickBot="1">
      <c r="A32" s="125"/>
      <c r="B32" s="125"/>
      <c r="C32" s="126"/>
      <c r="D32" s="125"/>
      <c r="E32" s="126"/>
      <c r="F32" s="126"/>
      <c r="G32" s="125"/>
      <c r="H32" s="125"/>
      <c r="I32" s="125"/>
      <c r="J32" s="126"/>
      <c r="K32" s="125"/>
      <c r="L32" s="126"/>
      <c r="M32" s="126"/>
    </row>
    <row r="33" spans="1:13" ht="13.5" thickBot="1">
      <c r="A33" s="129" t="s">
        <v>16</v>
      </c>
      <c r="B33" s="410" t="str">
        <f>VLOOKUP(15,'１×Ｍ'!B17:K17,2)</f>
        <v>新居高校G</v>
      </c>
      <c r="C33" s="411" t="e">
        <v>#N/A</v>
      </c>
      <c r="D33" s="130" t="s">
        <v>21</v>
      </c>
      <c r="E33" s="155" t="str">
        <f>VLOOKUP(15,'１×Ｍ'!B17:K17,9)</f>
        <v>増田</v>
      </c>
      <c r="F33" s="156" t="str">
        <f>VLOOKUP(15,'１×Ｍ'!B17:L17,10)</f>
        <v>夏美</v>
      </c>
      <c r="G33" s="125"/>
      <c r="H33" s="129" t="s">
        <v>16</v>
      </c>
      <c r="I33" s="410" t="str">
        <f>VLOOKUP(16,'１×Ｍ'!B18:K18,2)</f>
        <v>新居高校H</v>
      </c>
      <c r="J33" s="411" t="e">
        <v>#N/A</v>
      </c>
      <c r="K33" s="130" t="s">
        <v>21</v>
      </c>
      <c r="L33" s="155" t="str">
        <f>VLOOKUP(16,'１×Ｍ'!B18:K18,9)</f>
        <v>増田</v>
      </c>
      <c r="M33" s="156" t="str">
        <f>VLOOKUP(16,'１×Ｍ'!B18:L18,10)</f>
        <v>夏美</v>
      </c>
    </row>
    <row r="34" spans="1:13">
      <c r="A34" s="131" t="s">
        <v>22</v>
      </c>
      <c r="B34" s="132" t="s">
        <v>17</v>
      </c>
      <c r="C34" s="133" t="s">
        <v>19</v>
      </c>
      <c r="D34" s="132" t="s">
        <v>23</v>
      </c>
      <c r="E34" s="134"/>
      <c r="F34" s="135"/>
      <c r="G34" s="125"/>
      <c r="H34" s="131" t="s">
        <v>22</v>
      </c>
      <c r="I34" s="132" t="s">
        <v>17</v>
      </c>
      <c r="J34" s="133" t="s">
        <v>19</v>
      </c>
      <c r="K34" s="132" t="s">
        <v>23</v>
      </c>
      <c r="L34" s="134"/>
      <c r="M34" s="135"/>
    </row>
    <row r="35" spans="1:13" ht="13.5" thickBot="1">
      <c r="A35" s="136" t="s">
        <v>24</v>
      </c>
      <c r="B35" s="137" t="str">
        <f>VLOOKUP(15,'１×Ｍ'!B17:K17,4)</f>
        <v>大野</v>
      </c>
      <c r="C35" s="138" t="str">
        <f>VLOOKUP(15,'１×Ｍ'!B17:K17,5)</f>
        <v>遥希</v>
      </c>
      <c r="D35" s="137">
        <f>VLOOKUP(15,'１×Ｍ'!B17:K17,6)</f>
        <v>3</v>
      </c>
      <c r="E35" s="139"/>
      <c r="F35" s="15"/>
      <c r="G35" s="125"/>
      <c r="H35" s="136" t="s">
        <v>24</v>
      </c>
      <c r="I35" s="137" t="str">
        <f>VLOOKUP(16,'１×Ｍ'!B18:K18,4)</f>
        <v>安川</v>
      </c>
      <c r="J35" s="138" t="str">
        <f>VLOOKUP(16,'１×Ｍ'!B18:K18,5)</f>
        <v>莉槙</v>
      </c>
      <c r="K35" s="137">
        <f>VLOOKUP(16,'１×Ｍ'!B18:K18,6)</f>
        <v>3</v>
      </c>
      <c r="L35" s="139"/>
      <c r="M35" s="15"/>
    </row>
    <row r="36" spans="1:13" ht="13.5" thickBot="1">
      <c r="A36" s="125"/>
      <c r="B36" s="125"/>
      <c r="C36" s="126"/>
      <c r="D36" s="125"/>
      <c r="E36" s="126"/>
      <c r="F36" s="126"/>
      <c r="G36" s="125"/>
      <c r="H36" s="125"/>
      <c r="I36" s="125"/>
      <c r="J36" s="126"/>
      <c r="K36" s="125"/>
      <c r="L36" s="126"/>
      <c r="M36" s="126"/>
    </row>
    <row r="37" spans="1:13" ht="13.5" thickBot="1">
      <c r="A37" s="129" t="s">
        <v>16</v>
      </c>
      <c r="B37" s="410" t="str">
        <f>VLOOKUP(17,'１×Ｍ'!B19:K19,2)</f>
        <v>新居高校I</v>
      </c>
      <c r="C37" s="411" t="e">
        <v>#N/A</v>
      </c>
      <c r="D37" s="130" t="s">
        <v>21</v>
      </c>
      <c r="E37" s="155" t="str">
        <f>VLOOKUP(17,'１×Ｍ'!B19:K19,9)</f>
        <v>増田</v>
      </c>
      <c r="F37" s="156" t="str">
        <f>VLOOKUP(17,'１×Ｍ'!B19:L19,10)</f>
        <v>夏美</v>
      </c>
      <c r="G37" s="125"/>
      <c r="H37" s="129" t="s">
        <v>16</v>
      </c>
      <c r="I37" s="410" t="str">
        <f>VLOOKUP(18,'１×Ｍ'!B20:K20,2)</f>
        <v>新居高校J</v>
      </c>
      <c r="J37" s="411" t="e">
        <v>#N/A</v>
      </c>
      <c r="K37" s="130" t="s">
        <v>21</v>
      </c>
      <c r="L37" s="155" t="str">
        <f>VLOOKUP(18,'１×Ｍ'!B20:K20,9)</f>
        <v>増田</v>
      </c>
      <c r="M37" s="156" t="str">
        <f>VLOOKUP(18,'１×Ｍ'!B20:L20,10)</f>
        <v>夏美</v>
      </c>
    </row>
    <row r="38" spans="1:13">
      <c r="A38" s="131" t="s">
        <v>22</v>
      </c>
      <c r="B38" s="132" t="s">
        <v>17</v>
      </c>
      <c r="C38" s="133" t="s">
        <v>19</v>
      </c>
      <c r="D38" s="132" t="s">
        <v>23</v>
      </c>
      <c r="E38" s="134"/>
      <c r="F38" s="135"/>
      <c r="G38" s="125"/>
      <c r="H38" s="131" t="s">
        <v>22</v>
      </c>
      <c r="I38" s="132" t="s">
        <v>17</v>
      </c>
      <c r="J38" s="133" t="s">
        <v>19</v>
      </c>
      <c r="K38" s="132" t="s">
        <v>23</v>
      </c>
      <c r="L38" s="134"/>
      <c r="M38" s="135"/>
    </row>
    <row r="39" spans="1:13" ht="13.5" thickBot="1">
      <c r="A39" s="136" t="s">
        <v>24</v>
      </c>
      <c r="B39" s="137" t="str">
        <f>VLOOKUP(17,'１×Ｍ'!B19:K19,4)</f>
        <v>原</v>
      </c>
      <c r="C39" s="138" t="str">
        <f>VLOOKUP(17,'１×Ｍ'!B19:K19,5)</f>
        <v>太壱</v>
      </c>
      <c r="D39" s="137">
        <f>VLOOKUP(17,'１×Ｍ'!B19:K19,6)</f>
        <v>2</v>
      </c>
      <c r="E39" s="139"/>
      <c r="F39" s="15"/>
      <c r="G39" s="125"/>
      <c r="H39" s="136" t="s">
        <v>24</v>
      </c>
      <c r="I39" s="137" t="str">
        <f>VLOOKUP(18,'１×Ｍ'!B20:K20,4)</f>
        <v>魚住</v>
      </c>
      <c r="J39" s="138" t="str">
        <f>VLOOKUP(18,'１×Ｍ'!B20:K20,5)</f>
        <v>拓夢</v>
      </c>
      <c r="K39" s="137">
        <f>VLOOKUP(18,'１×Ｍ'!B20:K20,6)</f>
        <v>2</v>
      </c>
      <c r="L39" s="139"/>
      <c r="M39" s="15"/>
    </row>
    <row r="40" spans="1:13" ht="13.5" thickBot="1">
      <c r="A40" s="125"/>
      <c r="B40" s="125"/>
      <c r="C40" s="126"/>
      <c r="D40" s="125"/>
      <c r="E40" s="126"/>
      <c r="F40" s="126"/>
      <c r="G40" s="125"/>
      <c r="H40" s="125"/>
      <c r="I40" s="125"/>
      <c r="J40" s="126"/>
      <c r="K40" s="125"/>
      <c r="L40" s="126"/>
      <c r="M40" s="126"/>
    </row>
    <row r="41" spans="1:13" ht="13.5" thickBot="1">
      <c r="A41" s="129" t="s">
        <v>16</v>
      </c>
      <c r="B41" s="410" t="str">
        <f>VLOOKUP(19,'１×Ｍ'!B21:K21,2)</f>
        <v>新居高校K</v>
      </c>
      <c r="C41" s="411" t="e">
        <v>#N/A</v>
      </c>
      <c r="D41" s="130" t="s">
        <v>21</v>
      </c>
      <c r="E41" s="155" t="str">
        <f>VLOOKUP(19,'１×Ｍ'!B21:K21,9)</f>
        <v>増田</v>
      </c>
      <c r="F41" s="156" t="str">
        <f>VLOOKUP(19,'１×Ｍ'!B21:L21,10)</f>
        <v>夏美</v>
      </c>
      <c r="G41" s="125"/>
      <c r="H41" s="129" t="s">
        <v>16</v>
      </c>
      <c r="I41" s="410" t="str">
        <f>VLOOKUP(20,'１×Ｍ'!B22:K22,2)</f>
        <v>天竜高校A</v>
      </c>
      <c r="J41" s="411" t="e">
        <v>#N/A</v>
      </c>
      <c r="K41" s="130" t="s">
        <v>21</v>
      </c>
      <c r="L41" s="155" t="str">
        <f>VLOOKUP(20,'１×Ｍ'!B22:K22,9)</f>
        <v>山本</v>
      </c>
      <c r="M41" s="156" t="str">
        <f>VLOOKUP(20,'１×Ｍ'!B22:L22,10)</f>
        <v>幸生</v>
      </c>
    </row>
    <row r="42" spans="1:13">
      <c r="A42" s="131" t="s">
        <v>22</v>
      </c>
      <c r="B42" s="132" t="s">
        <v>17</v>
      </c>
      <c r="C42" s="133" t="s">
        <v>19</v>
      </c>
      <c r="D42" s="132" t="s">
        <v>23</v>
      </c>
      <c r="E42" s="134"/>
      <c r="F42" s="135"/>
      <c r="G42" s="125"/>
      <c r="H42" s="131" t="s">
        <v>22</v>
      </c>
      <c r="I42" s="132" t="s">
        <v>17</v>
      </c>
      <c r="J42" s="133" t="s">
        <v>19</v>
      </c>
      <c r="K42" s="132" t="s">
        <v>23</v>
      </c>
      <c r="L42" s="134"/>
      <c r="M42" s="135"/>
    </row>
    <row r="43" spans="1:13" ht="13.5" thickBot="1">
      <c r="A43" s="136" t="s">
        <v>24</v>
      </c>
      <c r="B43" s="137" t="str">
        <f>VLOOKUP(19,'１×Ｍ'!B2:K22,4)</f>
        <v>岡市</v>
      </c>
      <c r="C43" s="138" t="str">
        <f>VLOOKUP(19,'１×Ｍ'!B21:K21,5)</f>
        <v>蓮夢</v>
      </c>
      <c r="D43" s="137">
        <f>VLOOKUP(19,'１×Ｍ'!B21:K21,6)</f>
        <v>2</v>
      </c>
      <c r="E43" s="139"/>
      <c r="F43" s="15"/>
      <c r="G43" s="125"/>
      <c r="H43" s="136" t="s">
        <v>24</v>
      </c>
      <c r="I43" s="137" t="str">
        <f>VLOOKUP(20,'１×Ｍ'!B22:K22,4)</f>
        <v>鈴木</v>
      </c>
      <c r="J43" s="138" t="str">
        <f>VLOOKUP(20,'１×Ｍ'!B22:K22,5)</f>
        <v>聖龍</v>
      </c>
      <c r="K43" s="137">
        <f>VLOOKUP(20,'１×Ｍ'!B22:K22,6)</f>
        <v>3</v>
      </c>
      <c r="L43" s="139"/>
      <c r="M43" s="15"/>
    </row>
    <row r="44" spans="1:13" ht="13.5" thickBot="1">
      <c r="A44" s="125"/>
      <c r="B44" s="125"/>
      <c r="C44" s="126"/>
      <c r="D44" s="126"/>
      <c r="E44" s="126"/>
      <c r="F44" s="126"/>
      <c r="G44" s="125"/>
      <c r="H44" s="125"/>
      <c r="I44" s="125"/>
      <c r="J44" s="126"/>
      <c r="K44" s="125"/>
      <c r="L44" s="126"/>
      <c r="M44" s="126"/>
    </row>
    <row r="45" spans="1:13" ht="13.5" thickBot="1">
      <c r="A45" s="129" t="s">
        <v>4</v>
      </c>
      <c r="B45" s="410" t="str">
        <f>VLOOKUP(21,'１×Ｍ'!B23:K23,2)</f>
        <v>天竜高校B</v>
      </c>
      <c r="C45" s="411" t="e">
        <v>#N/A</v>
      </c>
      <c r="D45" s="130" t="s">
        <v>21</v>
      </c>
      <c r="E45" s="155" t="str">
        <f>VLOOKUP(21,'１×Ｍ'!B23:K23,9)</f>
        <v>山本</v>
      </c>
      <c r="F45" s="156" t="str">
        <f>VLOOKUP(21,'１×Ｍ'!B23:L23,10)</f>
        <v>幸生</v>
      </c>
      <c r="G45" s="125"/>
      <c r="H45" s="129" t="s">
        <v>4</v>
      </c>
      <c r="I45" s="410" t="str">
        <f>VLOOKUP(22,'１×Ｍ'!B24:K24,2)</f>
        <v>天竜高校C</v>
      </c>
      <c r="J45" s="411" t="e">
        <v>#N/A</v>
      </c>
      <c r="K45" s="130" t="s">
        <v>21</v>
      </c>
      <c r="L45" s="155" t="str">
        <f>VLOOKUP(22,'１×Ｍ'!B24:K24,9)</f>
        <v>山本</v>
      </c>
      <c r="M45" s="156" t="str">
        <f>VLOOKUP(22,'１×Ｍ'!B24:L24,10)</f>
        <v>幸生</v>
      </c>
    </row>
    <row r="46" spans="1:13">
      <c r="A46" s="131" t="s">
        <v>22</v>
      </c>
      <c r="B46" s="132" t="s">
        <v>17</v>
      </c>
      <c r="C46" s="133" t="s">
        <v>19</v>
      </c>
      <c r="D46" s="132" t="s">
        <v>23</v>
      </c>
      <c r="E46" s="134"/>
      <c r="F46" s="135"/>
      <c r="G46" s="125"/>
      <c r="H46" s="131" t="s">
        <v>22</v>
      </c>
      <c r="I46" s="132" t="s">
        <v>17</v>
      </c>
      <c r="J46" s="133" t="s">
        <v>19</v>
      </c>
      <c r="K46" s="132" t="s">
        <v>23</v>
      </c>
      <c r="L46" s="134"/>
      <c r="M46" s="135"/>
    </row>
    <row r="47" spans="1:13" ht="13.5" thickBot="1">
      <c r="A47" s="136" t="s">
        <v>24</v>
      </c>
      <c r="B47" s="137" t="str">
        <f>VLOOKUP(21,'１×Ｍ'!B23:K23,4)</f>
        <v>髙橋</v>
      </c>
      <c r="C47" s="138" t="str">
        <f>VLOOKUP(21,'１×Ｍ'!B23:K23,5)</f>
        <v>咲汰郎</v>
      </c>
      <c r="D47" s="137">
        <f>VLOOKUP(21,'１×Ｍ'!B23:K23,6)</f>
        <v>3</v>
      </c>
      <c r="E47" s="139"/>
      <c r="F47" s="15"/>
      <c r="G47" s="125"/>
      <c r="H47" s="136" t="s">
        <v>24</v>
      </c>
      <c r="I47" s="137" t="str">
        <f>VLOOKUP(22,'１×Ｍ'!B24:K24,4)</f>
        <v>鈴木</v>
      </c>
      <c r="J47" s="138" t="str">
        <f>VLOOKUP(22,'１×Ｍ'!B24:K45,5)</f>
        <v>健太</v>
      </c>
      <c r="K47" s="137">
        <f>VLOOKUP(22,'１×Ｍ'!B24:K24,6)</f>
        <v>3</v>
      </c>
      <c r="L47" s="139"/>
      <c r="M47" s="15"/>
    </row>
    <row r="48" spans="1:13" ht="13.5" thickBot="1">
      <c r="A48" s="15"/>
      <c r="B48" s="15"/>
      <c r="C48" s="15"/>
      <c r="D48" s="15"/>
      <c r="E48" s="15"/>
      <c r="F48" s="15"/>
      <c r="G48" s="125"/>
      <c r="H48" s="15"/>
      <c r="I48" s="15"/>
      <c r="J48" s="15"/>
      <c r="K48" s="15"/>
      <c r="L48" s="15"/>
      <c r="M48" s="15"/>
    </row>
    <row r="49" spans="1:13" ht="13.5" thickBot="1">
      <c r="A49" s="129" t="s">
        <v>16</v>
      </c>
      <c r="B49" s="410" t="str">
        <f>VLOOKUP(23,'１×Ｍ'!B25:K25,2)</f>
        <v>天竜高校D</v>
      </c>
      <c r="C49" s="411" t="e">
        <v>#N/A</v>
      </c>
      <c r="D49" s="130" t="s">
        <v>21</v>
      </c>
      <c r="E49" s="155" t="str">
        <f>VLOOKUP(23,'１×Ｍ'!B25:K25,9)</f>
        <v>山本</v>
      </c>
      <c r="F49" s="156" t="str">
        <f>VLOOKUP(23,'１×Ｍ'!B25:L25,10)</f>
        <v>幸生</v>
      </c>
      <c r="G49" s="125"/>
      <c r="H49" s="129" t="s">
        <v>16</v>
      </c>
      <c r="I49" s="410" t="str">
        <f>VLOOKUP(24,'１×Ｍ'!B26:K26,2)</f>
        <v>天竜高校E</v>
      </c>
      <c r="J49" s="411" t="e">
        <v>#N/A</v>
      </c>
      <c r="K49" s="130" t="s">
        <v>21</v>
      </c>
      <c r="L49" s="155" t="str">
        <f>VLOOKUP(24,'１×Ｍ'!B26:K26,9)</f>
        <v>山本</v>
      </c>
      <c r="M49" s="156" t="str">
        <f>VLOOKUP(24,'１×Ｍ'!B26:L26,10)</f>
        <v>幸生</v>
      </c>
    </row>
    <row r="50" spans="1:13">
      <c r="A50" s="131" t="s">
        <v>22</v>
      </c>
      <c r="B50" s="132" t="s">
        <v>17</v>
      </c>
      <c r="C50" s="133" t="s">
        <v>19</v>
      </c>
      <c r="D50" s="132" t="s">
        <v>23</v>
      </c>
      <c r="E50" s="134"/>
      <c r="F50" s="135"/>
      <c r="G50" s="125"/>
      <c r="H50" s="131" t="s">
        <v>22</v>
      </c>
      <c r="I50" s="132" t="s">
        <v>17</v>
      </c>
      <c r="J50" s="133" t="s">
        <v>19</v>
      </c>
      <c r="K50" s="132" t="s">
        <v>23</v>
      </c>
      <c r="L50" s="134"/>
      <c r="M50" s="135"/>
    </row>
    <row r="51" spans="1:13" ht="13.5" thickBot="1">
      <c r="A51" s="136" t="s">
        <v>24</v>
      </c>
      <c r="B51" s="137" t="str">
        <f>VLOOKUP(23,'１×Ｍ'!B25:K25,4)</f>
        <v>黒田</v>
      </c>
      <c r="C51" s="138" t="str">
        <f>VLOOKUP(23,'１×Ｍ'!B25:K25,5)</f>
        <v>文哉</v>
      </c>
      <c r="D51" s="137">
        <f>VLOOKUP(23,'１×Ｍ'!B25:K25,6)</f>
        <v>3</v>
      </c>
      <c r="E51" s="139"/>
      <c r="F51" s="15"/>
      <c r="G51" s="125"/>
      <c r="H51" s="136" t="s">
        <v>24</v>
      </c>
      <c r="I51" s="137" t="str">
        <f>VLOOKUP(24,'１×Ｍ'!B26:K26,4)</f>
        <v>大橋</v>
      </c>
      <c r="J51" s="138" t="str">
        <f>VLOOKUP(24,'１×Ｍ'!B26:K26,5)</f>
        <v>泰斗</v>
      </c>
      <c r="K51" s="137">
        <f>VLOOKUP(24,'１×Ｍ'!B26:K26,6)</f>
        <v>2</v>
      </c>
      <c r="L51" s="139"/>
      <c r="M51" s="15"/>
    </row>
    <row r="52" spans="1:13" ht="13.5" thickBot="1">
      <c r="A52" s="125"/>
      <c r="B52" s="125"/>
      <c r="C52" s="126"/>
      <c r="D52" s="125"/>
      <c r="E52" s="126"/>
      <c r="F52" s="126"/>
      <c r="G52" s="125"/>
      <c r="H52" s="125"/>
      <c r="I52" s="125"/>
      <c r="J52" s="126"/>
      <c r="K52" s="125"/>
      <c r="L52" s="126"/>
      <c r="M52" s="126"/>
    </row>
    <row r="53" spans="1:13" ht="13.5" thickBot="1">
      <c r="A53" s="129" t="s">
        <v>16</v>
      </c>
      <c r="B53" s="410" t="str">
        <f>VLOOKUP(25,'１×Ｍ'!B27:K27,2)</f>
        <v>天竜高校F</v>
      </c>
      <c r="C53" s="411" t="e">
        <v>#N/A</v>
      </c>
      <c r="D53" s="130" t="s">
        <v>21</v>
      </c>
      <c r="E53" s="155" t="str">
        <f>VLOOKUP(25,'１×Ｍ'!B27:K27,9)</f>
        <v>山本</v>
      </c>
      <c r="F53" s="156" t="str">
        <f>VLOOKUP(25,'１×Ｍ'!B27:L27,10)</f>
        <v>幸生</v>
      </c>
      <c r="G53" s="125"/>
      <c r="H53" s="129" t="s">
        <v>16</v>
      </c>
      <c r="I53" s="410" t="str">
        <f>VLOOKUP(26,'１×Ｍ'!B28:K28,2)</f>
        <v>天竜高校G</v>
      </c>
      <c r="J53" s="411" t="e">
        <v>#N/A</v>
      </c>
      <c r="K53" s="130" t="s">
        <v>21</v>
      </c>
      <c r="L53" s="155" t="str">
        <f>VLOOKUP(26,'１×Ｍ'!B28:K28,9)</f>
        <v>山本</v>
      </c>
      <c r="M53" s="156" t="str">
        <f>VLOOKUP(26,'１×Ｍ'!B28:L28,10)</f>
        <v>幸生</v>
      </c>
    </row>
    <row r="54" spans="1:13">
      <c r="A54" s="131" t="s">
        <v>22</v>
      </c>
      <c r="B54" s="132" t="s">
        <v>17</v>
      </c>
      <c r="C54" s="133" t="s">
        <v>19</v>
      </c>
      <c r="D54" s="132" t="s">
        <v>23</v>
      </c>
      <c r="E54" s="134"/>
      <c r="F54" s="135"/>
      <c r="G54" s="125"/>
      <c r="H54" s="131" t="s">
        <v>22</v>
      </c>
      <c r="I54" s="132" t="s">
        <v>17</v>
      </c>
      <c r="J54" s="133" t="s">
        <v>19</v>
      </c>
      <c r="K54" s="132" t="s">
        <v>23</v>
      </c>
      <c r="L54" s="134"/>
      <c r="M54" s="135"/>
    </row>
    <row r="55" spans="1:13" ht="13.5" thickBot="1">
      <c r="A55" s="136" t="s">
        <v>24</v>
      </c>
      <c r="B55" s="137" t="str">
        <f>VLOOKUP(25,'１×Ｍ'!B27:K27,4)</f>
        <v>清水</v>
      </c>
      <c r="C55" s="138" t="str">
        <f>VLOOKUP(25,'１×Ｍ'!B27:K27,5)</f>
        <v>颯真</v>
      </c>
      <c r="D55" s="137">
        <f>VLOOKUP(25,'１×Ｍ'!B27:K27,6)</f>
        <v>2</v>
      </c>
      <c r="E55" s="139"/>
      <c r="F55" s="15"/>
      <c r="G55" s="125"/>
      <c r="H55" s="136" t="s">
        <v>24</v>
      </c>
      <c r="I55" s="137" t="str">
        <f>VLOOKUP(26,'１×Ｍ'!B28:K28,4)</f>
        <v>岡野</v>
      </c>
      <c r="J55" s="138" t="str">
        <f>VLOOKUP(26,'１×Ｍ'!B28:K28,5)</f>
        <v>望斗</v>
      </c>
      <c r="K55" s="137">
        <f>VLOOKUP(26,'１×Ｍ'!B28:K28,6)</f>
        <v>2</v>
      </c>
      <c r="L55" s="139"/>
      <c r="M55" s="15"/>
    </row>
    <row r="56" spans="1:13" ht="13.5" thickBot="1">
      <c r="A56" s="125"/>
      <c r="B56" s="125"/>
      <c r="C56" s="126"/>
      <c r="D56" s="125"/>
      <c r="E56" s="126"/>
      <c r="F56" s="126"/>
      <c r="G56" s="125"/>
      <c r="H56" s="125"/>
      <c r="I56" s="125"/>
      <c r="J56" s="126"/>
      <c r="K56" s="125"/>
      <c r="L56" s="126"/>
      <c r="M56" s="126"/>
    </row>
    <row r="57" spans="1:13" ht="13.5" thickBot="1">
      <c r="A57" s="129" t="s">
        <v>4</v>
      </c>
      <c r="B57" s="410" t="str">
        <f>VLOOKUP(27,'１×Ｍ'!B29:K29,2)</f>
        <v>天竜高校H</v>
      </c>
      <c r="C57" s="411" t="e">
        <v>#N/A</v>
      </c>
      <c r="D57" s="130" t="s">
        <v>21</v>
      </c>
      <c r="E57" s="155" t="str">
        <f>VLOOKUP(27,'１×Ｍ'!B29:K29,9)</f>
        <v>山本</v>
      </c>
      <c r="F57" s="156" t="str">
        <f>VLOOKUP(27,'１×Ｍ'!B29:L29,10)</f>
        <v>幸生</v>
      </c>
      <c r="G57" s="125"/>
      <c r="H57" s="129" t="s">
        <v>16</v>
      </c>
      <c r="I57" s="410" t="str">
        <f>VLOOKUP(28,'１×Ｍ'!B30:K30,2)</f>
        <v>沼津東高校A</v>
      </c>
      <c r="J57" s="411" t="e">
        <v>#N/A</v>
      </c>
      <c r="K57" s="130" t="s">
        <v>21</v>
      </c>
      <c r="L57" s="155" t="str">
        <f>VLOOKUP(28,'１×Ｍ'!B30:K30,9)</f>
        <v>鈴木</v>
      </c>
      <c r="M57" s="156" t="str">
        <f>VLOOKUP(28,'１×Ｍ'!B30:L30,10)</f>
        <v>亮次</v>
      </c>
    </row>
    <row r="58" spans="1:13">
      <c r="A58" s="131" t="s">
        <v>22</v>
      </c>
      <c r="B58" s="132" t="s">
        <v>17</v>
      </c>
      <c r="C58" s="133" t="s">
        <v>19</v>
      </c>
      <c r="D58" s="132" t="s">
        <v>23</v>
      </c>
      <c r="E58" s="134"/>
      <c r="F58" s="135"/>
      <c r="G58" s="125"/>
      <c r="H58" s="131" t="s">
        <v>22</v>
      </c>
      <c r="I58" s="132" t="s">
        <v>17</v>
      </c>
      <c r="J58" s="133" t="s">
        <v>19</v>
      </c>
      <c r="K58" s="132" t="s">
        <v>23</v>
      </c>
      <c r="L58" s="134"/>
      <c r="M58" s="135"/>
    </row>
    <row r="59" spans="1:13" ht="13.5" thickBot="1">
      <c r="A59" s="136" t="s">
        <v>24</v>
      </c>
      <c r="B59" s="137" t="str">
        <f>VLOOKUP(27,'１×Ｍ'!B29:K29,4)</f>
        <v>青嶋</v>
      </c>
      <c r="C59" s="138" t="str">
        <f>VLOOKUP(27,'１×Ｍ'!B29:K29,5)</f>
        <v>拓海</v>
      </c>
      <c r="D59" s="137">
        <f>VLOOKUP(27,'１×Ｍ'!B29:K29,6)</f>
        <v>2</v>
      </c>
      <c r="E59" s="139"/>
      <c r="F59" s="15"/>
      <c r="G59" s="125"/>
      <c r="H59" s="136" t="s">
        <v>24</v>
      </c>
      <c r="I59" s="137" t="str">
        <f>VLOOKUP(28,'１×Ｍ'!B30:K30,4)</f>
        <v>深田</v>
      </c>
      <c r="J59" s="138" t="str">
        <f>VLOOKUP(28,'１×Ｍ'!B30:K30,5)</f>
        <v>真翔</v>
      </c>
      <c r="K59" s="137">
        <f>VLOOKUP(28,'１×Ｍ'!B30:K30,6)</f>
        <v>3</v>
      </c>
      <c r="L59" s="139"/>
      <c r="M59" s="15"/>
    </row>
    <row r="60" spans="1:13" ht="13.5" thickBot="1">
      <c r="A60" s="15"/>
      <c r="B60" s="15"/>
      <c r="C60" s="15"/>
      <c r="D60" s="15"/>
      <c r="E60" s="15"/>
      <c r="F60" s="15"/>
      <c r="G60" s="125"/>
      <c r="H60" s="15"/>
      <c r="I60" s="15"/>
      <c r="J60" s="15"/>
      <c r="K60" s="15"/>
      <c r="L60" s="15"/>
      <c r="M60" s="15"/>
    </row>
    <row r="61" spans="1:13" ht="13.5" thickBot="1">
      <c r="A61" s="129" t="s">
        <v>4</v>
      </c>
      <c r="B61" s="410" t="str">
        <f>VLOOKUP(29,'１×Ｍ'!B31:K31,2)</f>
        <v>沼津東高校B</v>
      </c>
      <c r="C61" s="411" t="e">
        <v>#N/A</v>
      </c>
      <c r="D61" s="130" t="s">
        <v>21</v>
      </c>
      <c r="E61" s="155" t="str">
        <f>VLOOKUP(29,'１×Ｍ'!B31:K31,9)</f>
        <v>鈴木</v>
      </c>
      <c r="F61" s="156" t="str">
        <f>VLOOKUP(29,'１×Ｍ'!B31:L31,10)</f>
        <v>駿麻</v>
      </c>
      <c r="G61" s="125"/>
      <c r="H61" s="129" t="s">
        <v>4</v>
      </c>
      <c r="I61" s="410" t="str">
        <f>VLOOKUP(30,'１×Ｍ'!B32:K32,2)</f>
        <v>浜松大平台高校A</v>
      </c>
      <c r="J61" s="411" t="e">
        <v>#N/A</v>
      </c>
      <c r="K61" s="130" t="s">
        <v>21</v>
      </c>
      <c r="L61" s="155" t="str">
        <f>VLOOKUP(30,'１×Ｍ'!B32:K32,9)</f>
        <v>藤田</v>
      </c>
      <c r="M61" s="156" t="str">
        <f>VLOOKUP(30,'１×Ｍ'!B32:L32,10)</f>
        <v>達広</v>
      </c>
    </row>
    <row r="62" spans="1:13">
      <c r="A62" s="140" t="s">
        <v>22</v>
      </c>
      <c r="B62" s="141" t="s">
        <v>17</v>
      </c>
      <c r="C62" s="142" t="s">
        <v>19</v>
      </c>
      <c r="D62" s="141" t="s">
        <v>23</v>
      </c>
      <c r="E62" s="134"/>
      <c r="F62" s="135"/>
      <c r="G62" s="125"/>
      <c r="H62" s="140" t="s">
        <v>22</v>
      </c>
      <c r="I62" s="141" t="s">
        <v>17</v>
      </c>
      <c r="J62" s="142" t="s">
        <v>19</v>
      </c>
      <c r="K62" s="141" t="s">
        <v>23</v>
      </c>
      <c r="L62" s="134"/>
      <c r="M62" s="135"/>
    </row>
    <row r="63" spans="1:13" ht="13.5" thickBot="1">
      <c r="A63" s="143" t="s">
        <v>24</v>
      </c>
      <c r="B63" s="144" t="str">
        <f>VLOOKUP(29,'１×Ｍ'!B31:K31,4)</f>
        <v>小山</v>
      </c>
      <c r="C63" s="145" t="str">
        <f>VLOOKUP(29,'１×Ｍ'!B31:K31,5)</f>
        <v>宰</v>
      </c>
      <c r="D63" s="144">
        <f>VLOOKUP(29,'１×Ｍ'!B31:K31,6)</f>
        <v>2</v>
      </c>
      <c r="E63" s="139"/>
      <c r="F63" s="15"/>
      <c r="G63" s="125"/>
      <c r="H63" s="143" t="s">
        <v>24</v>
      </c>
      <c r="I63" s="144" t="str">
        <f>VLOOKUP(30,'１×Ｍ'!B32:K32,4)</f>
        <v>富田</v>
      </c>
      <c r="J63" s="145" t="str">
        <f>VLOOKUP(30,'１×Ｍ'!B32:K32,5)</f>
        <v>航生</v>
      </c>
      <c r="K63" s="144">
        <f>VLOOKUP(30,'１×Ｍ'!B32:K32,6)</f>
        <v>3</v>
      </c>
      <c r="L63" s="139"/>
      <c r="M63" s="15"/>
    </row>
    <row r="64" spans="1:13" ht="13.5" thickBot="1">
      <c r="A64" s="15"/>
      <c r="B64" s="15"/>
      <c r="C64" s="15"/>
      <c r="D64" s="15"/>
      <c r="E64" s="15"/>
      <c r="F64" s="15"/>
      <c r="G64" s="125"/>
      <c r="H64" s="15"/>
      <c r="I64" s="15"/>
      <c r="J64" s="15"/>
      <c r="K64" s="15"/>
      <c r="L64" s="15"/>
      <c r="M64" s="15"/>
    </row>
    <row r="65" spans="1:13" ht="13.5" thickBot="1">
      <c r="A65" s="129" t="s">
        <v>4</v>
      </c>
      <c r="B65" s="410" t="str">
        <f>VLOOKUP(31,'１×Ｍ'!B33:K33,2)</f>
        <v>浜松大平台高校B</v>
      </c>
      <c r="C65" s="411" t="e">
        <v>#N/A</v>
      </c>
      <c r="D65" s="130" t="s">
        <v>21</v>
      </c>
      <c r="E65" s="155" t="str">
        <f>VLOOKUP(31,'１×Ｍ'!B33:K33,9)</f>
        <v>藤田</v>
      </c>
      <c r="F65" s="156" t="str">
        <f>VLOOKUP(31,'１×Ｍ'!B33:L33,10)</f>
        <v>達広</v>
      </c>
      <c r="G65" s="125"/>
      <c r="H65" s="129" t="s">
        <v>16</v>
      </c>
      <c r="I65" s="410" t="str">
        <f>VLOOKUP(32,'１×Ｍ'!B34:K34,2)</f>
        <v>浜松大平台高校C</v>
      </c>
      <c r="J65" s="411" t="e">
        <v>#N/A</v>
      </c>
      <c r="K65" s="130" t="s">
        <v>21</v>
      </c>
      <c r="L65" s="155" t="str">
        <f>VLOOKUP(32,'１×Ｍ'!B34:K34,9)</f>
        <v>藤田</v>
      </c>
      <c r="M65" s="156" t="str">
        <f>VLOOKUP(32,'１×Ｍ'!B34:L34,10)</f>
        <v>達広</v>
      </c>
    </row>
    <row r="66" spans="1:13">
      <c r="A66" s="131" t="s">
        <v>22</v>
      </c>
      <c r="B66" s="132" t="s">
        <v>17</v>
      </c>
      <c r="C66" s="133" t="s">
        <v>19</v>
      </c>
      <c r="D66" s="132" t="s">
        <v>23</v>
      </c>
      <c r="E66" s="134"/>
      <c r="F66" s="135"/>
      <c r="G66" s="125"/>
      <c r="H66" s="131" t="s">
        <v>22</v>
      </c>
      <c r="I66" s="132" t="s">
        <v>17</v>
      </c>
      <c r="J66" s="133" t="s">
        <v>19</v>
      </c>
      <c r="K66" s="132" t="s">
        <v>23</v>
      </c>
      <c r="L66" s="134"/>
      <c r="M66" s="135"/>
    </row>
    <row r="67" spans="1:13" ht="13.5" thickBot="1">
      <c r="A67" s="136" t="s">
        <v>24</v>
      </c>
      <c r="B67" s="137" t="str">
        <f>VLOOKUP(31,'１×Ｍ'!B33:K33,4)</f>
        <v>長谷川</v>
      </c>
      <c r="C67" s="138" t="str">
        <f>VLOOKUP(31,'１×Ｍ'!B33:K33,5)</f>
        <v>優成</v>
      </c>
      <c r="D67" s="137">
        <f>VLOOKUP(31,'１×Ｍ'!B33:K33,6)</f>
        <v>3</v>
      </c>
      <c r="E67" s="139"/>
      <c r="F67" s="15"/>
      <c r="G67" s="125"/>
      <c r="H67" s="136" t="s">
        <v>24</v>
      </c>
      <c r="I67" s="137" t="str">
        <f>VLOOKUP(32,'１×Ｍ'!B34:K34,4)</f>
        <v>鎌田</v>
      </c>
      <c r="J67" s="138" t="str">
        <f>VLOOKUP(32,'１×Ｍ'!B34:K34,5)</f>
        <v>有翔</v>
      </c>
      <c r="K67" s="137">
        <f>VLOOKUP(32,'１×Ｍ'!B34:K34,6)</f>
        <v>2</v>
      </c>
      <c r="L67" s="139"/>
      <c r="M67" s="15"/>
    </row>
    <row r="68" spans="1:13" ht="13.5" thickBot="1">
      <c r="A68" s="15"/>
      <c r="B68" s="15"/>
      <c r="C68" s="15"/>
      <c r="D68" s="15"/>
      <c r="E68" s="15"/>
      <c r="F68" s="15"/>
      <c r="G68" s="125"/>
      <c r="H68" s="15"/>
      <c r="I68" s="15"/>
      <c r="J68" s="15"/>
      <c r="K68" s="15"/>
      <c r="L68" s="15"/>
      <c r="M68" s="15"/>
    </row>
    <row r="69" spans="1:13" ht="13.5" thickBot="1">
      <c r="A69" s="129" t="s">
        <v>4</v>
      </c>
      <c r="B69" s="410" t="str">
        <f>VLOOKUP(33,'１×Ｍ'!B35:K35,2)</f>
        <v>浜松大平台高校D</v>
      </c>
      <c r="C69" s="411" t="e">
        <v>#N/A</v>
      </c>
      <c r="D69" s="130" t="s">
        <v>21</v>
      </c>
      <c r="E69" s="155" t="str">
        <f>VLOOKUP(33,'１×Ｍ'!B35:K35,9)</f>
        <v>藤田</v>
      </c>
      <c r="F69" s="156" t="str">
        <f>VLOOKUP(33,'１×Ｍ'!B35:L35,10)</f>
        <v>達広</v>
      </c>
      <c r="G69" s="125"/>
      <c r="H69" s="129" t="s">
        <v>4</v>
      </c>
      <c r="I69" s="410" t="str">
        <f>VLOOKUP(34,'１×Ｍ'!B36:K36,2)</f>
        <v>浜松湖南高校A</v>
      </c>
      <c r="J69" s="411" t="e">
        <v>#N/A</v>
      </c>
      <c r="K69" s="130" t="s">
        <v>21</v>
      </c>
      <c r="L69" s="155" t="str">
        <f>VLOOKUP(34,'１×Ｍ'!B36:K36,9)</f>
        <v>山崎</v>
      </c>
      <c r="M69" s="156" t="str">
        <f>VLOOKUP(34,'１×Ｍ'!B36:L36,10)</f>
        <v>武敏</v>
      </c>
    </row>
    <row r="70" spans="1:13">
      <c r="A70" s="140" t="s">
        <v>22</v>
      </c>
      <c r="B70" s="141" t="s">
        <v>17</v>
      </c>
      <c r="C70" s="142" t="s">
        <v>19</v>
      </c>
      <c r="D70" s="141" t="s">
        <v>23</v>
      </c>
      <c r="E70" s="134"/>
      <c r="F70" s="135"/>
      <c r="G70" s="125"/>
      <c r="H70" s="140" t="s">
        <v>22</v>
      </c>
      <c r="I70" s="141" t="s">
        <v>17</v>
      </c>
      <c r="J70" s="142" t="s">
        <v>19</v>
      </c>
      <c r="K70" s="141" t="s">
        <v>23</v>
      </c>
      <c r="L70" s="134"/>
      <c r="M70" s="135"/>
    </row>
    <row r="71" spans="1:13" ht="13.5" thickBot="1">
      <c r="A71" s="143" t="s">
        <v>24</v>
      </c>
      <c r="B71" s="144" t="str">
        <f>VLOOKUP(33,'１×Ｍ'!B35:K35,4)</f>
        <v>松元</v>
      </c>
      <c r="C71" s="145" t="str">
        <f>VLOOKUP(33,'１×Ｍ'!B35:K35,5)</f>
        <v>慧太朗</v>
      </c>
      <c r="D71" s="144">
        <f>VLOOKUP(33,'１×Ｍ'!B35:K35,6)</f>
        <v>2</v>
      </c>
      <c r="E71" s="139"/>
      <c r="F71" s="15"/>
      <c r="G71" s="125"/>
      <c r="H71" s="143" t="s">
        <v>24</v>
      </c>
      <c r="I71" s="144" t="str">
        <f>VLOOKUP(34,'１×Ｍ'!B36:K36,4)</f>
        <v>星山</v>
      </c>
      <c r="J71" s="145" t="str">
        <f>VLOOKUP(34,'１×Ｍ'!B36:K36,5)</f>
        <v>将士</v>
      </c>
      <c r="K71" s="144">
        <f>VLOOKUP(34,'１×Ｍ'!B36:K36,6)</f>
        <v>2</v>
      </c>
      <c r="L71" s="139"/>
      <c r="M71" s="15"/>
    </row>
    <row r="72" spans="1:13" ht="13.5" thickBot="1">
      <c r="A72" s="15"/>
      <c r="B72" s="15"/>
      <c r="C72" s="15"/>
      <c r="D72" s="15"/>
      <c r="E72" s="15"/>
      <c r="F72" s="15"/>
      <c r="G72" s="125"/>
      <c r="H72" s="15"/>
      <c r="I72" s="15"/>
      <c r="J72" s="15"/>
      <c r="K72" s="15"/>
      <c r="L72" s="15"/>
      <c r="M72" s="15"/>
    </row>
    <row r="73" spans="1:13" ht="13.5" thickBot="1">
      <c r="A73" s="129" t="s">
        <v>4</v>
      </c>
      <c r="B73" s="410" t="str">
        <f>VLOOKUP(35,'１×Ｍ'!B37:K37,2)</f>
        <v>浜松湖南高校B</v>
      </c>
      <c r="C73" s="411" t="e">
        <v>#N/A</v>
      </c>
      <c r="D73" s="130" t="s">
        <v>21</v>
      </c>
      <c r="E73" s="155" t="str">
        <f>VLOOKUP(35,'１×Ｍ'!B37:K37,9)</f>
        <v>山崎</v>
      </c>
      <c r="F73" s="156" t="str">
        <f>VLOOKUP(35,'１×Ｍ'!B37:L37,10)</f>
        <v>武敏</v>
      </c>
      <c r="G73" s="125"/>
      <c r="H73" s="129" t="s">
        <v>16</v>
      </c>
      <c r="I73" s="410" t="str">
        <f>VLOOKUP(36,'１×Ｍ'!B38:K38,2)</f>
        <v>浜松湖南高校C</v>
      </c>
      <c r="J73" s="411" t="e">
        <v>#N/A</v>
      </c>
      <c r="K73" s="130" t="s">
        <v>21</v>
      </c>
      <c r="L73" s="155" t="str">
        <f>VLOOKUP(36,'１×Ｍ'!B38:K38,9)</f>
        <v>山崎</v>
      </c>
      <c r="M73" s="156" t="str">
        <f>VLOOKUP(36,'１×Ｍ'!B38:L38,10)</f>
        <v>武敏</v>
      </c>
    </row>
    <row r="74" spans="1:13">
      <c r="A74" s="131" t="s">
        <v>22</v>
      </c>
      <c r="B74" s="132" t="s">
        <v>17</v>
      </c>
      <c r="C74" s="133" t="s">
        <v>19</v>
      </c>
      <c r="D74" s="132" t="s">
        <v>23</v>
      </c>
      <c r="E74" s="134"/>
      <c r="F74" s="135"/>
      <c r="G74" s="125"/>
      <c r="H74" s="131" t="s">
        <v>22</v>
      </c>
      <c r="I74" s="132" t="s">
        <v>17</v>
      </c>
      <c r="J74" s="133" t="s">
        <v>19</v>
      </c>
      <c r="K74" s="132" t="s">
        <v>23</v>
      </c>
      <c r="L74" s="134"/>
      <c r="M74" s="135"/>
    </row>
    <row r="75" spans="1:13" ht="13.5" thickBot="1">
      <c r="A75" s="136" t="s">
        <v>24</v>
      </c>
      <c r="B75" s="137" t="str">
        <f>VLOOKUP(35,'１×Ｍ'!B37:K37,4)</f>
        <v>蓑部</v>
      </c>
      <c r="C75" s="138" t="str">
        <f>VLOOKUP(35,'１×Ｍ'!B37:K37,5)</f>
        <v>匠之介</v>
      </c>
      <c r="D75" s="137">
        <f>VLOOKUP(35,'１×Ｍ'!B37:K37,6)</f>
        <v>2</v>
      </c>
      <c r="E75" s="139"/>
      <c r="F75" s="15"/>
      <c r="G75" s="125"/>
      <c r="H75" s="136" t="s">
        <v>24</v>
      </c>
      <c r="I75" s="137" t="str">
        <f>VLOOKUP(36,'１×Ｍ'!B38:K38,4)</f>
        <v>渥美</v>
      </c>
      <c r="J75" s="138" t="str">
        <f>VLOOKUP(36,'１×Ｍ'!B38:K38,5)</f>
        <v>智也</v>
      </c>
      <c r="K75" s="137">
        <f>VLOOKUP(36,'１×Ｍ'!B38:K38,6)</f>
        <v>2</v>
      </c>
      <c r="L75" s="139"/>
      <c r="M75" s="15"/>
    </row>
    <row r="76" spans="1:13" ht="13.5" thickBot="1">
      <c r="A76" s="15"/>
      <c r="B76" s="15"/>
      <c r="C76" s="15"/>
      <c r="D76" s="15"/>
      <c r="E76" s="15"/>
      <c r="F76" s="15"/>
      <c r="G76" s="125"/>
      <c r="H76" s="15"/>
      <c r="I76" s="15"/>
      <c r="J76" s="15"/>
      <c r="K76" s="15"/>
      <c r="L76" s="15"/>
      <c r="M76" s="15"/>
    </row>
    <row r="77" spans="1:13" ht="13.5" thickBot="1">
      <c r="A77" s="129" t="s">
        <v>4</v>
      </c>
      <c r="B77" s="410" t="str">
        <f>VLOOKUP(37,'１×Ｍ'!B39:K39,2)</f>
        <v>浜松湖南高校D</v>
      </c>
      <c r="C77" s="411" t="e">
        <v>#N/A</v>
      </c>
      <c r="D77" s="130" t="s">
        <v>21</v>
      </c>
      <c r="E77" s="155" t="str">
        <f>VLOOKUP(37,'１×Ｍ'!B39:K39,9)</f>
        <v>山崎</v>
      </c>
      <c r="F77" s="156" t="str">
        <f>VLOOKUP(37,'１×Ｍ'!B39:L39,10)</f>
        <v>武敏</v>
      </c>
      <c r="G77" s="125"/>
      <c r="H77" s="129" t="s">
        <v>4</v>
      </c>
      <c r="I77" s="410" t="str">
        <f>VLOOKUP(38,'１×Ｍ'!B40:K40,2)</f>
        <v>浜松湖南高校E</v>
      </c>
      <c r="J77" s="411" t="e">
        <v>#N/A</v>
      </c>
      <c r="K77" s="130" t="s">
        <v>21</v>
      </c>
      <c r="L77" s="155" t="str">
        <f>VLOOKUP(38,'１×Ｍ'!B40:K40,9)</f>
        <v>山崎</v>
      </c>
      <c r="M77" s="156" t="str">
        <f>VLOOKUP(38,'１×Ｍ'!B40:L40,10)</f>
        <v>武敏</v>
      </c>
    </row>
    <row r="78" spans="1:13">
      <c r="A78" s="140" t="s">
        <v>22</v>
      </c>
      <c r="B78" s="141" t="s">
        <v>17</v>
      </c>
      <c r="C78" s="142" t="s">
        <v>19</v>
      </c>
      <c r="D78" s="141" t="s">
        <v>23</v>
      </c>
      <c r="E78" s="134"/>
      <c r="F78" s="135"/>
      <c r="G78" s="125"/>
      <c r="H78" s="140" t="s">
        <v>22</v>
      </c>
      <c r="I78" s="141" t="s">
        <v>17</v>
      </c>
      <c r="J78" s="142" t="s">
        <v>19</v>
      </c>
      <c r="K78" s="141" t="s">
        <v>23</v>
      </c>
      <c r="L78" s="134"/>
      <c r="M78" s="135"/>
    </row>
    <row r="79" spans="1:13" ht="13.5" thickBot="1">
      <c r="A79" s="143" t="s">
        <v>24</v>
      </c>
      <c r="B79" s="144" t="str">
        <f>VLOOKUP(37,'１×Ｍ'!B39:K39,4)</f>
        <v>松島</v>
      </c>
      <c r="C79" s="145" t="str">
        <f>VLOOKUP(37,'１×Ｍ'!B39:K39,5)</f>
        <v>煌起</v>
      </c>
      <c r="D79" s="144">
        <f>VLOOKUP(37,'１×Ｍ'!B39:K39,6)</f>
        <v>2</v>
      </c>
      <c r="E79" s="139"/>
      <c r="F79" s="15"/>
      <c r="G79" s="125"/>
      <c r="H79" s="143" t="s">
        <v>24</v>
      </c>
      <c r="I79" s="144" t="str">
        <f>VLOOKUP(38,'１×Ｍ'!B40:K40,4)</f>
        <v>山下</v>
      </c>
      <c r="J79" s="145" t="str">
        <f>VLOOKUP(38,'１×Ｍ'!B40:K40,5)</f>
        <v>稜人</v>
      </c>
      <c r="K79" s="144">
        <f>VLOOKUP(38,'１×Ｍ'!B40:K40,6)</f>
        <v>2</v>
      </c>
      <c r="L79" s="139"/>
      <c r="M79" s="15"/>
    </row>
    <row r="80" spans="1:13" ht="13.5" thickBot="1">
      <c r="A80" s="15"/>
      <c r="B80" s="15"/>
      <c r="C80" s="15"/>
      <c r="D80" s="15"/>
      <c r="E80" s="15"/>
      <c r="F80" s="15"/>
      <c r="G80" s="125"/>
      <c r="H80" s="15"/>
      <c r="I80" s="15"/>
      <c r="J80" s="15"/>
      <c r="K80" s="15"/>
      <c r="L80" s="15"/>
      <c r="M80" s="15"/>
    </row>
    <row r="81" spans="1:13" ht="13.5" thickBot="1">
      <c r="A81" s="129" t="s">
        <v>4</v>
      </c>
      <c r="B81" s="410" t="str">
        <f>VLOOKUP(39,'１×Ｍ'!B3:K44,2)</f>
        <v>浜松北高校A</v>
      </c>
      <c r="C81" s="411" t="e">
        <v>#N/A</v>
      </c>
      <c r="D81" s="130" t="s">
        <v>21</v>
      </c>
      <c r="E81" s="155" t="str">
        <f>VLOOKUP(39,'１×Ｍ'!B3:K44,9)</f>
        <v>小栗</v>
      </c>
      <c r="F81" s="156" t="str">
        <f>VLOOKUP(39,'１×Ｍ'!B3:K44,10)</f>
        <v>正人</v>
      </c>
      <c r="G81" s="125"/>
      <c r="H81" s="129" t="s">
        <v>4</v>
      </c>
      <c r="I81" s="410" t="str">
        <f>VLOOKUP(40,'１×Ｍ'!B3:K44,2)</f>
        <v>浜松北高校B</v>
      </c>
      <c r="J81" s="411" t="e">
        <v>#N/A</v>
      </c>
      <c r="K81" s="130" t="s">
        <v>21</v>
      </c>
      <c r="L81" s="155" t="str">
        <f>VLOOKUP(40,'１×Ｍ'!B3:K44,9)</f>
        <v>小栗</v>
      </c>
      <c r="M81" s="156" t="str">
        <f>VLOOKUP(40,'１×Ｍ'!B3:K44,10)</f>
        <v>正人</v>
      </c>
    </row>
    <row r="82" spans="1:13">
      <c r="A82" s="140" t="s">
        <v>22</v>
      </c>
      <c r="B82" s="141" t="s">
        <v>17</v>
      </c>
      <c r="C82" s="142" t="s">
        <v>19</v>
      </c>
      <c r="D82" s="141" t="s">
        <v>23</v>
      </c>
      <c r="E82" s="134"/>
      <c r="F82" s="135"/>
      <c r="G82" s="125"/>
      <c r="H82" s="140" t="s">
        <v>22</v>
      </c>
      <c r="I82" s="141" t="s">
        <v>809</v>
      </c>
      <c r="J82" s="142" t="s">
        <v>19</v>
      </c>
      <c r="K82" s="141" t="s">
        <v>23</v>
      </c>
      <c r="L82" s="134"/>
      <c r="M82" s="135"/>
    </row>
    <row r="83" spans="1:13" ht="13.5" thickBot="1">
      <c r="A83" s="143" t="s">
        <v>24</v>
      </c>
      <c r="B83" s="144" t="str">
        <f>VLOOKUP(39,'１×Ｍ'!B3:K44,4)</f>
        <v>福田</v>
      </c>
      <c r="C83" s="145" t="str">
        <f>VLOOKUP(39,'１×Ｍ'!B3:K44,5)</f>
        <v>一</v>
      </c>
      <c r="D83" s="144">
        <f>VLOOKUP(39,'１×Ｍ'!B3:K44,6)</f>
        <v>3</v>
      </c>
      <c r="E83" s="139"/>
      <c r="F83" s="15"/>
      <c r="G83" s="125"/>
      <c r="H83" s="143" t="s">
        <v>24</v>
      </c>
      <c r="I83" s="144" t="str">
        <f>VLOOKUP(40,'１×Ｍ'!B3:K44,4)</f>
        <v>杉本</v>
      </c>
      <c r="J83" s="145" t="str">
        <f>VLOOKUP(40,'１×Ｍ'!B3:K44,5)</f>
        <v>達哉</v>
      </c>
      <c r="K83" s="144">
        <f>VLOOKUP(40,'１×Ｍ'!B3:K44,6)</f>
        <v>3</v>
      </c>
      <c r="L83" s="139"/>
      <c r="M83" s="15"/>
    </row>
    <row r="84" spans="1:13" ht="13.5" thickBot="1">
      <c r="A84" s="15"/>
      <c r="B84" s="15"/>
      <c r="C84" s="15"/>
      <c r="D84" s="15"/>
      <c r="E84" s="15"/>
      <c r="F84" s="15"/>
      <c r="G84" s="125"/>
      <c r="H84" s="15"/>
      <c r="I84" s="15"/>
      <c r="J84" s="15"/>
      <c r="K84" s="15"/>
      <c r="L84" s="15"/>
      <c r="M84" s="15"/>
    </row>
    <row r="85" spans="1:13" ht="13.5" thickBot="1">
      <c r="A85" s="129" t="s">
        <v>4</v>
      </c>
      <c r="B85" s="410" t="str">
        <f>VLOOKUP(41,'１×Ｍ'!B3:K44,2)</f>
        <v>浜松北高校C</v>
      </c>
      <c r="C85" s="411" t="e">
        <v>#N/A</v>
      </c>
      <c r="D85" s="130" t="s">
        <v>21</v>
      </c>
      <c r="E85" s="155" t="str">
        <f>VLOOKUP(41,'１×Ｍ'!B3:K44,9)</f>
        <v>露木</v>
      </c>
      <c r="F85" s="156" t="str">
        <f>VLOOKUP(41,'１×Ｍ'!B3:K44,10)</f>
        <v>隆</v>
      </c>
      <c r="G85" s="125"/>
      <c r="H85" s="129" t="s">
        <v>16</v>
      </c>
      <c r="I85" s="410" t="str">
        <f>VLOOKUP(42,'１×Ｍ'!B3:K44,2)</f>
        <v>浜松北高校D</v>
      </c>
      <c r="J85" s="411" t="e">
        <v>#N/A</v>
      </c>
      <c r="K85" s="130" t="s">
        <v>21</v>
      </c>
      <c r="L85" s="155" t="str">
        <f>VLOOKUP(42,'１×Ｍ'!B3:K44,9)</f>
        <v>露木</v>
      </c>
      <c r="M85" s="156" t="str">
        <f>VLOOKUP(42,'１×Ｍ'!B3:K44,10)</f>
        <v>隆</v>
      </c>
    </row>
    <row r="86" spans="1:13">
      <c r="A86" s="131" t="s">
        <v>22</v>
      </c>
      <c r="B86" s="132" t="s">
        <v>17</v>
      </c>
      <c r="C86" s="133" t="s">
        <v>19</v>
      </c>
      <c r="D86" s="132" t="s">
        <v>23</v>
      </c>
      <c r="E86" s="134"/>
      <c r="F86" s="135"/>
      <c r="G86" s="125"/>
      <c r="H86" s="131" t="s">
        <v>22</v>
      </c>
      <c r="I86" s="132" t="s">
        <v>17</v>
      </c>
      <c r="J86" s="133" t="s">
        <v>19</v>
      </c>
      <c r="K86" s="132" t="s">
        <v>23</v>
      </c>
      <c r="L86" s="134"/>
      <c r="M86" s="135"/>
    </row>
    <row r="87" spans="1:13" ht="13.5" thickBot="1">
      <c r="A87" s="136" t="s">
        <v>24</v>
      </c>
      <c r="B87" s="137" t="str">
        <f>VLOOKUP(41,'１×Ｍ'!B3:K44,4)</f>
        <v>戸川</v>
      </c>
      <c r="C87" s="138" t="str">
        <f>VLOOKUP(41,'１×Ｍ'!B3:K44,5)</f>
        <v>駿</v>
      </c>
      <c r="D87" s="137">
        <f>VLOOKUP(41,'１×Ｍ'!B3:K44,6)</f>
        <v>2</v>
      </c>
      <c r="E87" s="139"/>
      <c r="F87" s="15"/>
      <c r="G87" s="125"/>
      <c r="H87" s="136" t="s">
        <v>24</v>
      </c>
      <c r="I87" s="137" t="str">
        <f>VLOOKUP(42,'１×Ｍ'!B3:K44,4)</f>
        <v>白柳</v>
      </c>
      <c r="J87" s="138" t="str">
        <f>VLOOKUP(42,'１×Ｍ'!B3:K44,5)</f>
        <v>遼介</v>
      </c>
      <c r="K87" s="137">
        <f>VLOOKUP(42,'１×Ｍ'!B3:K44,6)</f>
        <v>2</v>
      </c>
      <c r="L87" s="139"/>
      <c r="M87" s="15"/>
    </row>
    <row r="88" spans="1:13" ht="13.5" hidden="1" thickBot="1">
      <c r="A88" s="15"/>
      <c r="B88" s="15"/>
      <c r="C88" s="15"/>
      <c r="D88" s="15"/>
      <c r="E88" s="15"/>
      <c r="F88" s="15"/>
      <c r="G88" s="125"/>
      <c r="H88" s="15"/>
      <c r="I88" s="15"/>
      <c r="J88" s="15"/>
      <c r="K88" s="15"/>
      <c r="L88" s="15"/>
      <c r="M88" s="15"/>
    </row>
    <row r="89" spans="1:13" ht="13.5" hidden="1" thickBot="1">
      <c r="A89" s="129" t="s">
        <v>4</v>
      </c>
      <c r="B89" s="410" t="e">
        <f>VLOOKUP(37,'１×Ｍ'!B51:K51,2)</f>
        <v>#N/A</v>
      </c>
      <c r="C89" s="411" t="e">
        <v>#N/A</v>
      </c>
      <c r="D89" s="130" t="s">
        <v>21</v>
      </c>
      <c r="E89" s="155" t="e">
        <f>VLOOKUP(37,'１×Ｍ'!B51:K51,9)</f>
        <v>#N/A</v>
      </c>
      <c r="F89" s="156" t="e">
        <f>VLOOKUP(37,'１×Ｍ'!B51:L51,10)</f>
        <v>#N/A</v>
      </c>
      <c r="G89" s="125"/>
      <c r="H89" s="129" t="s">
        <v>4</v>
      </c>
      <c r="I89" s="410" t="e">
        <f>VLOOKUP(38,'１×Ｍ'!B52:K52,2)</f>
        <v>#N/A</v>
      </c>
      <c r="J89" s="411" t="e">
        <v>#N/A</v>
      </c>
      <c r="K89" s="130" t="s">
        <v>21</v>
      </c>
      <c r="L89" s="155" t="e">
        <f>VLOOKUP(38,'１×Ｍ'!B52:K52,9)</f>
        <v>#N/A</v>
      </c>
      <c r="M89" s="156" t="e">
        <f>VLOOKUP(38,'１×Ｍ'!B52:L52,10)</f>
        <v>#N/A</v>
      </c>
    </row>
    <row r="90" spans="1:13" hidden="1">
      <c r="A90" s="140" t="s">
        <v>22</v>
      </c>
      <c r="B90" s="141" t="s">
        <v>17</v>
      </c>
      <c r="C90" s="142" t="s">
        <v>19</v>
      </c>
      <c r="D90" s="141" t="s">
        <v>23</v>
      </c>
      <c r="E90" s="134"/>
      <c r="F90" s="135"/>
      <c r="G90" s="125"/>
      <c r="H90" s="140" t="s">
        <v>22</v>
      </c>
      <c r="I90" s="141" t="s">
        <v>17</v>
      </c>
      <c r="J90" s="142" t="s">
        <v>19</v>
      </c>
      <c r="K90" s="141" t="s">
        <v>23</v>
      </c>
      <c r="L90" s="134"/>
      <c r="M90" s="135"/>
    </row>
    <row r="91" spans="1:13" ht="13.5" hidden="1" thickBot="1">
      <c r="A91" s="143" t="s">
        <v>24</v>
      </c>
      <c r="B91" s="144" t="e">
        <f>VLOOKUP(37,'１×Ｍ'!B51:K51,4)</f>
        <v>#N/A</v>
      </c>
      <c r="C91" s="145" t="e">
        <f>VLOOKUP(37,'１×Ｍ'!B51:K51,5)</f>
        <v>#N/A</v>
      </c>
      <c r="D91" s="144" t="e">
        <f>VLOOKUP(37,'１×Ｍ'!B51:K51,6)</f>
        <v>#N/A</v>
      </c>
      <c r="E91" s="139"/>
      <c r="F91" s="15"/>
      <c r="G91" s="125"/>
      <c r="H91" s="143" t="s">
        <v>24</v>
      </c>
      <c r="I91" s="144" t="e">
        <f>VLOOKUP(38,'１×Ｍ'!B52:K52,4)</f>
        <v>#N/A</v>
      </c>
      <c r="J91" s="145" t="e">
        <f>VLOOKUP(38,'１×Ｍ'!B52:K52,5)</f>
        <v>#N/A</v>
      </c>
      <c r="K91" s="144" t="e">
        <f>VLOOKUP(38,'１×Ｍ'!B52:K52,6)</f>
        <v>#N/A</v>
      </c>
      <c r="L91" s="139"/>
      <c r="M91" s="15"/>
    </row>
    <row r="92" spans="1:13">
      <c r="A92" s="15"/>
      <c r="B92" s="15"/>
      <c r="C92" s="15"/>
      <c r="D92" s="15"/>
      <c r="E92" s="15"/>
      <c r="F92" s="15"/>
      <c r="G92" s="125"/>
      <c r="H92" s="15"/>
      <c r="I92" s="15"/>
      <c r="J92" s="15"/>
      <c r="K92" s="15"/>
      <c r="L92" s="15"/>
      <c r="M92" s="15"/>
    </row>
    <row r="93" spans="1:13" ht="16.5">
      <c r="A93" s="127" t="s">
        <v>79</v>
      </c>
      <c r="B93" s="127"/>
      <c r="C93" s="128"/>
      <c r="D93" s="127"/>
      <c r="E93" s="128"/>
      <c r="F93" s="128"/>
      <c r="G93" s="127"/>
      <c r="H93" s="127"/>
      <c r="I93" s="127"/>
      <c r="J93" s="128"/>
      <c r="K93" s="127"/>
      <c r="L93" s="128"/>
      <c r="M93" s="128"/>
    </row>
    <row r="94" spans="1:13" ht="13.5" thickBot="1">
      <c r="A94" s="125"/>
      <c r="B94" s="125"/>
      <c r="C94" s="126"/>
      <c r="D94" s="125"/>
      <c r="E94" s="126"/>
      <c r="F94" s="126"/>
      <c r="G94" s="125"/>
      <c r="H94" s="125"/>
      <c r="I94" s="125"/>
      <c r="J94" s="126"/>
      <c r="K94" s="125"/>
      <c r="L94" s="126"/>
      <c r="M94" s="126"/>
    </row>
    <row r="95" spans="1:13" ht="13.5" thickBot="1">
      <c r="A95" s="129" t="s">
        <v>4</v>
      </c>
      <c r="B95" s="410" t="str">
        <f>VLOOKUP(1,'１×Ｗ'!B3:K3,2)</f>
        <v>浜松西高校A</v>
      </c>
      <c r="C95" s="411" t="e">
        <v>#N/A</v>
      </c>
      <c r="D95" s="130" t="s">
        <v>21</v>
      </c>
      <c r="E95" s="155" t="str">
        <f>VLOOKUP(1,'１×Ｗ'!B3:K3,9)</f>
        <v>上西</v>
      </c>
      <c r="F95" s="156" t="str">
        <f>VLOOKUP(1,'１×Ｗ'!B3:L3,10)</f>
        <v>智紀</v>
      </c>
      <c r="G95" s="125"/>
      <c r="H95" s="129" t="s">
        <v>16</v>
      </c>
      <c r="I95" s="410" t="str">
        <f>VLOOKUP(2,'１×Ｗ'!B4:K4,2)</f>
        <v>浜松西高校B</v>
      </c>
      <c r="J95" s="411" t="e">
        <v>#N/A</v>
      </c>
      <c r="K95" s="130" t="s">
        <v>21</v>
      </c>
      <c r="L95" s="155" t="str">
        <f>VLOOKUP(2,'１×Ｗ'!B4:K4,9)</f>
        <v>上西</v>
      </c>
      <c r="M95" s="156" t="str">
        <f>VLOOKUP(2,'１×Ｗ'!B4:L4,10)</f>
        <v>智紀</v>
      </c>
    </row>
    <row r="96" spans="1:13">
      <c r="A96" s="131" t="s">
        <v>22</v>
      </c>
      <c r="B96" s="132" t="s">
        <v>17</v>
      </c>
      <c r="C96" s="133" t="s">
        <v>19</v>
      </c>
      <c r="D96" s="132" t="s">
        <v>23</v>
      </c>
      <c r="E96" s="134"/>
      <c r="F96" s="135"/>
      <c r="G96" s="125"/>
      <c r="H96" s="131" t="s">
        <v>22</v>
      </c>
      <c r="I96" s="132" t="s">
        <v>17</v>
      </c>
      <c r="J96" s="133" t="s">
        <v>19</v>
      </c>
      <c r="K96" s="132" t="s">
        <v>23</v>
      </c>
      <c r="L96" s="134"/>
      <c r="M96" s="135"/>
    </row>
    <row r="97" spans="1:13" ht="13.5" thickBot="1">
      <c r="A97" s="136" t="s">
        <v>24</v>
      </c>
      <c r="B97" s="137" t="str">
        <f>VLOOKUP(1,'１×Ｗ'!B3:K3,4)</f>
        <v>小笠原</v>
      </c>
      <c r="C97" s="138" t="str">
        <f>VLOOKUP(1,'１×Ｗ'!B3:K3,5)</f>
        <v>実玖</v>
      </c>
      <c r="D97" s="137">
        <f>VLOOKUP(1,'１×Ｗ'!B3:K3,6)</f>
        <v>2</v>
      </c>
      <c r="E97" s="139"/>
      <c r="F97" s="15"/>
      <c r="G97" s="125"/>
      <c r="H97" s="136" t="s">
        <v>24</v>
      </c>
      <c r="I97" s="137" t="str">
        <f>VLOOKUP(2,'１×Ｗ'!B4:K4,4)</f>
        <v>袴田</v>
      </c>
      <c r="J97" s="138" t="str">
        <f>VLOOKUP(2,'１×Ｗ'!B4:K4,5)</f>
        <v>真央</v>
      </c>
      <c r="K97" s="137">
        <f>VLOOKUP(2,'１×Ｗ'!B4:K4,6)</f>
        <v>2</v>
      </c>
      <c r="L97" s="139"/>
      <c r="M97" s="15"/>
    </row>
    <row r="98" spans="1:13" ht="13.5" thickBot="1">
      <c r="A98" s="125"/>
      <c r="B98" s="125"/>
      <c r="C98" s="126"/>
      <c r="D98" s="125"/>
      <c r="E98" s="126"/>
      <c r="F98" s="126"/>
      <c r="G98" s="125"/>
      <c r="H98" s="125"/>
      <c r="I98" s="125"/>
      <c r="J98" s="126"/>
      <c r="K98" s="125"/>
      <c r="L98" s="126"/>
      <c r="M98" s="126"/>
    </row>
    <row r="99" spans="1:13" ht="13.5" thickBot="1">
      <c r="A99" s="129" t="s">
        <v>4</v>
      </c>
      <c r="B99" s="410" t="str">
        <f>VLOOKUP(3,'１×Ｗ'!B5:K5,2)</f>
        <v>浜松西高校C</v>
      </c>
      <c r="C99" s="411" t="e">
        <v>#N/A</v>
      </c>
      <c r="D99" s="130" t="s">
        <v>21</v>
      </c>
      <c r="E99" s="155" t="str">
        <f>VLOOKUP(3,'１×Ｗ'!B5:K5,9)</f>
        <v>上西</v>
      </c>
      <c r="F99" s="156" t="str">
        <f>VLOOKUP(3,'１×Ｗ'!B5:L5,10)</f>
        <v>智紀</v>
      </c>
      <c r="G99" s="125"/>
      <c r="H99" s="129" t="s">
        <v>16</v>
      </c>
      <c r="I99" s="410" t="str">
        <f>VLOOKUP(4,'１×Ｗ'!B6:K6,2)</f>
        <v>新居高校A</v>
      </c>
      <c r="J99" s="411" t="e">
        <v>#N/A</v>
      </c>
      <c r="K99" s="130" t="s">
        <v>21</v>
      </c>
      <c r="L99" s="155" t="str">
        <f>VLOOKUP(4,'１×Ｗ'!B6:K6,9)</f>
        <v>越智</v>
      </c>
      <c r="M99" s="156" t="str">
        <f>VLOOKUP(4,'１×Ｗ'!B6:L6,10)</f>
        <v>千紗都</v>
      </c>
    </row>
    <row r="100" spans="1:13">
      <c r="A100" s="131" t="s">
        <v>22</v>
      </c>
      <c r="B100" s="132" t="s">
        <v>17</v>
      </c>
      <c r="C100" s="133" t="s">
        <v>19</v>
      </c>
      <c r="D100" s="132" t="s">
        <v>23</v>
      </c>
      <c r="E100" s="134"/>
      <c r="F100" s="135"/>
      <c r="G100" s="125"/>
      <c r="H100" s="131" t="s">
        <v>22</v>
      </c>
      <c r="I100" s="132" t="s">
        <v>17</v>
      </c>
      <c r="J100" s="133" t="s">
        <v>19</v>
      </c>
      <c r="K100" s="132" t="s">
        <v>23</v>
      </c>
      <c r="L100" s="134"/>
      <c r="M100" s="135"/>
    </row>
    <row r="101" spans="1:13" ht="13.5" thickBot="1">
      <c r="A101" s="136" t="s">
        <v>24</v>
      </c>
      <c r="B101" s="137" t="str">
        <f>VLOOKUP(3,'１×Ｗ'!B5:K5,4)</f>
        <v>佐藤</v>
      </c>
      <c r="C101" s="138" t="str">
        <f>VLOOKUP(3,'１×Ｗ'!B5:K5,5)</f>
        <v>椛</v>
      </c>
      <c r="D101" s="137">
        <f>VLOOKUP(3,'１×Ｗ'!B5:K5,6)</f>
        <v>3</v>
      </c>
      <c r="E101" s="139"/>
      <c r="F101" s="15"/>
      <c r="G101" s="125"/>
      <c r="H101" s="136" t="s">
        <v>24</v>
      </c>
      <c r="I101" s="137" t="str">
        <f>VLOOKUP(4,'１×Ｗ'!B6:K6,4)</f>
        <v>後藤</v>
      </c>
      <c r="J101" s="138" t="str">
        <f>VLOOKUP(4,'１×Ｗ'!B6:K6,5)</f>
        <v>真歩</v>
      </c>
      <c r="K101" s="137">
        <f>VLOOKUP(4,'１×Ｗ'!B6:K6,6)</f>
        <v>3</v>
      </c>
      <c r="L101" s="139"/>
      <c r="M101" s="15"/>
    </row>
    <row r="102" spans="1:13" ht="13.5" thickBot="1">
      <c r="A102" s="125"/>
      <c r="B102" s="125"/>
      <c r="C102" s="126"/>
      <c r="D102" s="125"/>
      <c r="E102" s="126"/>
      <c r="F102" s="126"/>
      <c r="G102" s="125"/>
      <c r="H102" s="125"/>
      <c r="I102" s="125"/>
      <c r="J102" s="126"/>
      <c r="K102" s="125"/>
      <c r="L102" s="126"/>
      <c r="M102" s="126"/>
    </row>
    <row r="103" spans="1:13" ht="13.5" thickBot="1">
      <c r="A103" s="129" t="s">
        <v>16</v>
      </c>
      <c r="B103" s="410" t="str">
        <f>VLOOKUP(5,'１×Ｗ'!B7:K7,2)</f>
        <v>新居高校B</v>
      </c>
      <c r="C103" s="411" t="e">
        <v>#N/A</v>
      </c>
      <c r="D103" s="130" t="s">
        <v>21</v>
      </c>
      <c r="E103" s="155" t="str">
        <f>VLOOKUP(5,'１×Ｗ'!B7:K7,9)</f>
        <v>越智</v>
      </c>
      <c r="F103" s="156" t="str">
        <f>VLOOKUP(5,'１×Ｗ'!B7:L7,10)</f>
        <v>千紗都</v>
      </c>
      <c r="G103" s="125"/>
      <c r="H103" s="129" t="s">
        <v>16</v>
      </c>
      <c r="I103" s="410" t="str">
        <f>VLOOKUP(6,'１×Ｗ'!B8:K8,2)</f>
        <v>天竜高校A</v>
      </c>
      <c r="J103" s="411" t="e">
        <v>#N/A</v>
      </c>
      <c r="K103" s="130" t="s">
        <v>21</v>
      </c>
      <c r="L103" s="155" t="str">
        <f>VLOOKUP(6,'１×Ｗ'!B8:K8,9)</f>
        <v>山本</v>
      </c>
      <c r="M103" s="156" t="str">
        <f>VLOOKUP(6,'１×Ｗ'!B8:L8,10)</f>
        <v>幸生</v>
      </c>
    </row>
    <row r="104" spans="1:13">
      <c r="A104" s="140" t="s">
        <v>22</v>
      </c>
      <c r="B104" s="141" t="s">
        <v>17</v>
      </c>
      <c r="C104" s="142" t="s">
        <v>19</v>
      </c>
      <c r="D104" s="141" t="s">
        <v>23</v>
      </c>
      <c r="E104" s="134"/>
      <c r="F104" s="135"/>
      <c r="G104" s="125"/>
      <c r="H104" s="131" t="s">
        <v>22</v>
      </c>
      <c r="I104" s="132" t="s">
        <v>17</v>
      </c>
      <c r="J104" s="133" t="s">
        <v>19</v>
      </c>
      <c r="K104" s="132" t="s">
        <v>23</v>
      </c>
      <c r="L104" s="134"/>
      <c r="M104" s="135"/>
    </row>
    <row r="105" spans="1:13" ht="13.5" thickBot="1">
      <c r="A105" s="136" t="s">
        <v>24</v>
      </c>
      <c r="B105" s="137" t="str">
        <f>VLOOKUP(5,'１×Ｗ'!B7:K7,4)</f>
        <v>鈴木</v>
      </c>
      <c r="C105" s="138" t="str">
        <f>VLOOKUP(5,'１×Ｗ'!B7:K7,5)</f>
        <v>晴南</v>
      </c>
      <c r="D105" s="137">
        <f>VLOOKUP(5,'１×Ｗ'!B7:K7,6)</f>
        <v>3</v>
      </c>
      <c r="E105" s="139"/>
      <c r="F105" s="15"/>
      <c r="G105" s="125"/>
      <c r="H105" s="136" t="s">
        <v>24</v>
      </c>
      <c r="I105" s="137" t="str">
        <f>VLOOKUP(6,'１×Ｗ'!B8:K8,4)</f>
        <v>伊藤</v>
      </c>
      <c r="J105" s="138" t="str">
        <f>VLOOKUP(6,'１×Ｗ'!B8:K8,5)</f>
        <v>未羽</v>
      </c>
      <c r="K105" s="137">
        <f>VLOOKUP(6,'１×Ｗ'!B8:K8,6)</f>
        <v>3</v>
      </c>
      <c r="L105" s="139"/>
      <c r="M105" s="15"/>
    </row>
    <row r="106" spans="1:13" ht="13.5" thickBot="1">
      <c r="A106" s="125"/>
      <c r="B106" s="125"/>
      <c r="C106" s="126"/>
      <c r="D106" s="126"/>
      <c r="E106" s="126"/>
      <c r="F106" s="126"/>
      <c r="G106" s="125"/>
      <c r="H106" s="125"/>
      <c r="I106" s="125"/>
      <c r="J106" s="126"/>
      <c r="K106" s="125"/>
      <c r="L106" s="126"/>
      <c r="M106" s="126"/>
    </row>
    <row r="107" spans="1:13" ht="13.5" thickBot="1">
      <c r="A107" s="129" t="s">
        <v>16</v>
      </c>
      <c r="B107" s="410" t="str">
        <f>VLOOKUP(7,'１×Ｗ'!B9:K9,2)</f>
        <v>天竜高校B</v>
      </c>
      <c r="C107" s="411" t="e">
        <v>#N/A</v>
      </c>
      <c r="D107" s="130" t="s">
        <v>21</v>
      </c>
      <c r="E107" s="155" t="str">
        <f>VLOOKUP(7,'１×Ｗ'!B9:K9,9)</f>
        <v>山本</v>
      </c>
      <c r="F107" s="156" t="str">
        <f>VLOOKUP(7,'１×Ｗ'!B9:L9,10)</f>
        <v>幸生</v>
      </c>
      <c r="G107" s="125"/>
      <c r="H107" s="129" t="s">
        <v>16</v>
      </c>
      <c r="I107" s="410" t="str">
        <f>VLOOKUP(8,'１×Ｗ'!B10:K10,2)</f>
        <v>沼津東高校A</v>
      </c>
      <c r="J107" s="411" t="e">
        <v>#N/A</v>
      </c>
      <c r="K107" s="130" t="s">
        <v>21</v>
      </c>
      <c r="L107" s="155" t="str">
        <f>VLOOKUP(8,'１×Ｗ'!B10:K10,9)</f>
        <v>鈴木</v>
      </c>
      <c r="M107" s="156" t="str">
        <f>VLOOKUP(8,'１×Ｗ'!B10:L10,10)</f>
        <v>亮次</v>
      </c>
    </row>
    <row r="108" spans="1:13">
      <c r="A108" s="131" t="s">
        <v>22</v>
      </c>
      <c r="B108" s="132" t="s">
        <v>17</v>
      </c>
      <c r="C108" s="133" t="s">
        <v>19</v>
      </c>
      <c r="D108" s="132" t="s">
        <v>23</v>
      </c>
      <c r="E108" s="134"/>
      <c r="F108" s="135"/>
      <c r="G108" s="125"/>
      <c r="H108" s="131" t="s">
        <v>22</v>
      </c>
      <c r="I108" s="132" t="s">
        <v>17</v>
      </c>
      <c r="J108" s="133" t="s">
        <v>19</v>
      </c>
      <c r="K108" s="132" t="s">
        <v>23</v>
      </c>
      <c r="L108" s="134"/>
      <c r="M108" s="135"/>
    </row>
    <row r="109" spans="1:13" ht="13.5" thickBot="1">
      <c r="A109" s="136" t="s">
        <v>24</v>
      </c>
      <c r="B109" s="137" t="str">
        <f>VLOOKUP(7,'１×Ｗ'!B9:K9,4)</f>
        <v>乗松</v>
      </c>
      <c r="C109" s="138" t="str">
        <f>VLOOKUP(7,'１×Ｗ'!B9:K9,5)</f>
        <v>侑奈</v>
      </c>
      <c r="D109" s="137">
        <f>VLOOKUP(7,'１×Ｗ'!B9:K9,6)</f>
        <v>2</v>
      </c>
      <c r="E109" s="139"/>
      <c r="F109" s="15"/>
      <c r="G109" s="125"/>
      <c r="H109" s="136" t="s">
        <v>24</v>
      </c>
      <c r="I109" s="137" t="str">
        <f>VLOOKUP(8,'１×Ｗ'!B10:K10,4)</f>
        <v>長倉</v>
      </c>
      <c r="J109" s="138" t="str">
        <f>VLOOKUP(8,'１×Ｗ'!B10:K10,5)</f>
        <v>理子</v>
      </c>
      <c r="K109" s="137">
        <f>VLOOKUP(8,'１×Ｗ'!B10:K10,6)</f>
        <v>2</v>
      </c>
      <c r="L109" s="139"/>
      <c r="M109" s="15"/>
    </row>
    <row r="110" spans="1:13" ht="13.5" thickBot="1">
      <c r="A110" s="125"/>
      <c r="B110" s="125"/>
      <c r="C110" s="126"/>
      <c r="D110" s="126"/>
      <c r="E110" s="126"/>
      <c r="F110" s="126"/>
      <c r="G110" s="125"/>
      <c r="H110" s="125"/>
      <c r="I110" s="125"/>
      <c r="J110" s="126"/>
      <c r="K110" s="125"/>
      <c r="L110" s="126"/>
      <c r="M110" s="126"/>
    </row>
    <row r="111" spans="1:13" ht="13.5" thickBot="1">
      <c r="A111" s="129" t="s">
        <v>4</v>
      </c>
      <c r="B111" s="410" t="str">
        <f>VLOOKUP(9,'１×Ｗ'!B11:K11,2)</f>
        <v>沼津東高校B</v>
      </c>
      <c r="C111" s="411" t="e">
        <v>#N/A</v>
      </c>
      <c r="D111" s="130" t="s">
        <v>21</v>
      </c>
      <c r="E111" s="155" t="str">
        <f>VLOOKUP(9,'１×Ｗ'!B11:K11,9)</f>
        <v>杉本</v>
      </c>
      <c r="F111" s="156" t="str">
        <f>VLOOKUP(9,'１×Ｗ'!B11:L11,10)</f>
        <v>由佳子</v>
      </c>
      <c r="G111" s="125"/>
      <c r="H111" s="129" t="s">
        <v>16</v>
      </c>
      <c r="I111" s="410" t="str">
        <f>VLOOKUP(10,'１×Ｗ'!B12:K12,2)</f>
        <v>浜松大平台高校</v>
      </c>
      <c r="J111" s="411" t="e">
        <v>#N/A</v>
      </c>
      <c r="K111" s="130" t="s">
        <v>21</v>
      </c>
      <c r="L111" s="155" t="str">
        <f>VLOOKUP(10,'１×Ｗ'!B12:K12,9)</f>
        <v>藤田</v>
      </c>
      <c r="M111" s="156" t="str">
        <f>VLOOKUP(10,'１×Ｗ'!B12:L12,10)</f>
        <v>達広</v>
      </c>
    </row>
    <row r="112" spans="1:13">
      <c r="A112" s="131" t="s">
        <v>22</v>
      </c>
      <c r="B112" s="132" t="s">
        <v>17</v>
      </c>
      <c r="C112" s="133" t="s">
        <v>19</v>
      </c>
      <c r="D112" s="132" t="s">
        <v>23</v>
      </c>
      <c r="E112" s="134"/>
      <c r="F112" s="135"/>
      <c r="G112" s="125"/>
      <c r="H112" s="131" t="s">
        <v>22</v>
      </c>
      <c r="I112" s="132" t="s">
        <v>17</v>
      </c>
      <c r="J112" s="133" t="s">
        <v>19</v>
      </c>
      <c r="K112" s="132" t="s">
        <v>23</v>
      </c>
      <c r="L112" s="134"/>
      <c r="M112" s="135"/>
    </row>
    <row r="113" spans="1:13" ht="13.5" thickBot="1">
      <c r="A113" s="136" t="s">
        <v>24</v>
      </c>
      <c r="B113" s="137" t="str">
        <f>VLOOKUP(9,'１×Ｗ'!B11:K11,4)</f>
        <v>山本</v>
      </c>
      <c r="C113" s="138" t="str">
        <f>VLOOKUP(9,'１×Ｗ'!B11:K11,5)</f>
        <v>美羽</v>
      </c>
      <c r="D113" s="137">
        <f>VLOOKUP(9,'１×Ｗ'!B11:K11,6)</f>
        <v>2</v>
      </c>
      <c r="E113" s="139"/>
      <c r="F113" s="15"/>
      <c r="G113" s="125"/>
      <c r="H113" s="136" t="s">
        <v>24</v>
      </c>
      <c r="I113" s="137" t="str">
        <f>VLOOKUP(10,'１×Ｗ'!B12:K12,4)</f>
        <v>大井</v>
      </c>
      <c r="J113" s="138" t="str">
        <f>VLOOKUP(10,'１×Ｗ'!B12:K12,5)</f>
        <v>理世</v>
      </c>
      <c r="K113" s="137">
        <f>VLOOKUP(10,'１×Ｗ'!B12:K12,6)</f>
        <v>2</v>
      </c>
      <c r="L113" s="139"/>
      <c r="M113" s="15"/>
    </row>
    <row r="114" spans="1:13" ht="13.5" thickBot="1">
      <c r="A114" s="15"/>
      <c r="B114" s="15"/>
      <c r="C114" s="15"/>
      <c r="D114" s="15"/>
      <c r="E114" s="15"/>
      <c r="F114" s="15"/>
      <c r="G114" s="125"/>
      <c r="H114" s="15"/>
      <c r="I114" s="15"/>
      <c r="J114" s="15"/>
      <c r="K114" s="15"/>
      <c r="L114" s="15"/>
      <c r="M114" s="15"/>
    </row>
    <row r="115" spans="1:13" ht="13.5" thickBot="1">
      <c r="A115" s="129" t="s">
        <v>16</v>
      </c>
      <c r="B115" s="410" t="str">
        <f>VLOOKUP(11,'１×Ｗ'!B13:K13,2)</f>
        <v>浜松湖南高校A</v>
      </c>
      <c r="C115" s="411" t="e">
        <v>#N/A</v>
      </c>
      <c r="D115" s="130" t="s">
        <v>21</v>
      </c>
      <c r="E115" s="155" t="str">
        <f>VLOOKUP(11,'１×Ｗ'!B13:K13,9)</f>
        <v>鈴木</v>
      </c>
      <c r="F115" s="156" t="str">
        <f>VLOOKUP(11,'１×Ｗ'!B13:L13,10)</f>
        <v>基弘</v>
      </c>
      <c r="G115" s="125"/>
      <c r="H115" s="129" t="s">
        <v>16</v>
      </c>
      <c r="I115" s="410" t="str">
        <f>VLOOKUP(12,'１×Ｗ'!B14:K14,2)</f>
        <v>浜松湖南高校B</v>
      </c>
      <c r="J115" s="411" t="e">
        <v>#N/A</v>
      </c>
      <c r="K115" s="130" t="s">
        <v>21</v>
      </c>
      <c r="L115" s="155" t="str">
        <f>VLOOKUP(12,'１×Ｗ'!B14:K14,9)</f>
        <v>鈴木</v>
      </c>
      <c r="M115" s="156" t="str">
        <f>VLOOKUP(12,'１×Ｗ'!B14:L14,10)</f>
        <v>基弘</v>
      </c>
    </row>
    <row r="116" spans="1:13">
      <c r="A116" s="131" t="s">
        <v>22</v>
      </c>
      <c r="B116" s="132" t="s">
        <v>17</v>
      </c>
      <c r="C116" s="133" t="s">
        <v>19</v>
      </c>
      <c r="D116" s="132" t="s">
        <v>23</v>
      </c>
      <c r="E116" s="134"/>
      <c r="F116" s="135"/>
      <c r="G116" s="125"/>
      <c r="H116" s="131" t="s">
        <v>22</v>
      </c>
      <c r="I116" s="132" t="s">
        <v>17</v>
      </c>
      <c r="J116" s="133" t="s">
        <v>19</v>
      </c>
      <c r="K116" s="132" t="s">
        <v>23</v>
      </c>
      <c r="L116" s="134"/>
      <c r="M116" s="135"/>
    </row>
    <row r="117" spans="1:13" ht="13.5" thickBot="1">
      <c r="A117" s="136" t="s">
        <v>24</v>
      </c>
      <c r="B117" s="137" t="str">
        <f>VLOOKUP(11,'１×Ｗ'!B13:K13,4)</f>
        <v>加藤</v>
      </c>
      <c r="C117" s="138" t="str">
        <f>VLOOKUP(11,'１×Ｗ'!B13:K13,5)</f>
        <v>旭葉</v>
      </c>
      <c r="D117" s="137">
        <f>VLOOKUP(11,'１×Ｗ'!B13:K13,6)</f>
        <v>2</v>
      </c>
      <c r="E117" s="139"/>
      <c r="F117" s="15"/>
      <c r="G117" s="125"/>
      <c r="H117" s="136" t="s">
        <v>24</v>
      </c>
      <c r="I117" s="137" t="str">
        <f>VLOOKUP(12,'１×Ｗ'!B14:K14,4)</f>
        <v>金岡</v>
      </c>
      <c r="J117" s="138" t="str">
        <f>VLOOKUP(12,'１×Ｗ'!B14:K14,5)</f>
        <v>翠夏</v>
      </c>
      <c r="K117" s="137">
        <f>VLOOKUP(12,'１×Ｗ'!B14:K14,6)</f>
        <v>3</v>
      </c>
      <c r="L117" s="139"/>
      <c r="M117" s="15"/>
    </row>
    <row r="118" spans="1:13" ht="13.5" thickBot="1">
      <c r="A118" s="15"/>
      <c r="B118" s="15"/>
      <c r="C118" s="15"/>
      <c r="D118" s="15"/>
      <c r="E118" s="15"/>
      <c r="F118" s="15"/>
      <c r="G118" s="125"/>
      <c r="H118" s="15"/>
      <c r="I118" s="15"/>
      <c r="J118" s="15"/>
      <c r="K118" s="15"/>
      <c r="L118" s="15"/>
      <c r="M118" s="15"/>
    </row>
    <row r="119" spans="1:13" ht="13.5" thickBot="1">
      <c r="A119" s="129" t="s">
        <v>4</v>
      </c>
      <c r="B119" s="410" t="str">
        <f>VLOOKUP(13,'１×Ｗ'!B15:K15,2)</f>
        <v>浜松湖南高校C</v>
      </c>
      <c r="C119" s="411" t="e">
        <v>#N/A</v>
      </c>
      <c r="D119" s="130" t="s">
        <v>21</v>
      </c>
      <c r="E119" s="155" t="str">
        <f>VLOOKUP(13,'１×Ｗ'!B15:K15,9)</f>
        <v>鈴木</v>
      </c>
      <c r="F119" s="156" t="str">
        <f>VLOOKUP(13,'１×Ｗ'!B15:L15,10)</f>
        <v>基弘</v>
      </c>
      <c r="G119" s="125"/>
      <c r="H119" s="129" t="s">
        <v>16</v>
      </c>
      <c r="I119" s="410">
        <f>VLOOKUP(14,'１×Ｗ'!B16:K16,2)</f>
        <v>0</v>
      </c>
      <c r="J119" s="411" t="e">
        <v>#N/A</v>
      </c>
      <c r="K119" s="130" t="s">
        <v>21</v>
      </c>
      <c r="L119" s="155">
        <f>VLOOKUP(14,'１×Ｗ'!B16:K16,9)</f>
        <v>0</v>
      </c>
      <c r="M119" s="156">
        <f>VLOOKUP(14,'１×Ｗ'!B16:L16,10)</f>
        <v>0</v>
      </c>
    </row>
    <row r="120" spans="1:13">
      <c r="A120" s="131" t="s">
        <v>22</v>
      </c>
      <c r="B120" s="132" t="s">
        <v>17</v>
      </c>
      <c r="C120" s="133" t="s">
        <v>19</v>
      </c>
      <c r="D120" s="132" t="s">
        <v>23</v>
      </c>
      <c r="E120" s="134"/>
      <c r="F120" s="135"/>
      <c r="G120" s="125"/>
      <c r="H120" s="131" t="s">
        <v>22</v>
      </c>
      <c r="I120" s="132" t="s">
        <v>17</v>
      </c>
      <c r="J120" s="133" t="s">
        <v>19</v>
      </c>
      <c r="K120" s="132" t="s">
        <v>23</v>
      </c>
      <c r="L120" s="134"/>
      <c r="M120" s="135"/>
    </row>
    <row r="121" spans="1:13" ht="13.5" thickBot="1">
      <c r="A121" s="136" t="s">
        <v>24</v>
      </c>
      <c r="B121" s="137" t="str">
        <f>VLOOKUP(13,'１×Ｗ'!B15:K15,4)</f>
        <v>市川</v>
      </c>
      <c r="C121" s="138" t="str">
        <f>VLOOKUP(13,'１×Ｗ'!B15:K15,5)</f>
        <v>もね</v>
      </c>
      <c r="D121" s="137">
        <f>VLOOKUP(13,'１×Ｗ'!B15:K15,6)</f>
        <v>3</v>
      </c>
      <c r="E121" s="139"/>
      <c r="F121" s="15"/>
      <c r="G121" s="125"/>
      <c r="H121" s="136" t="s">
        <v>24</v>
      </c>
      <c r="I121" s="137">
        <f>VLOOKUP(14,'１×Ｗ'!B16:K16,4)</f>
        <v>0</v>
      </c>
      <c r="J121" s="138">
        <f>VLOOKUP(14,'１×Ｗ'!B16:K16,5)</f>
        <v>0</v>
      </c>
      <c r="K121" s="137">
        <f>VLOOKUP(14,'１×Ｗ'!B16:K16,6)</f>
        <v>0</v>
      </c>
      <c r="L121" s="139"/>
      <c r="M121" s="15"/>
    </row>
    <row r="122" spans="1:13" ht="13.5" hidden="1" thickBot="1">
      <c r="A122" s="15"/>
      <c r="B122" s="15"/>
      <c r="C122" s="15"/>
      <c r="D122" s="15"/>
      <c r="E122" s="15"/>
      <c r="F122" s="15"/>
      <c r="G122" s="125"/>
      <c r="H122" s="15"/>
      <c r="I122" s="15"/>
      <c r="J122" s="15"/>
      <c r="K122" s="15"/>
      <c r="L122" s="15"/>
      <c r="M122" s="15"/>
    </row>
    <row r="123" spans="1:13" ht="13.5" hidden="1" thickBot="1">
      <c r="A123" s="129" t="s">
        <v>16</v>
      </c>
      <c r="B123" s="410">
        <f>VLOOKUP(15,'１×Ｗ'!B17:K17,2)</f>
        <v>0</v>
      </c>
      <c r="C123" s="411" t="e">
        <v>#N/A</v>
      </c>
      <c r="D123" s="130" t="s">
        <v>21</v>
      </c>
      <c r="E123" s="155">
        <f>VLOOKUP(15,'１×Ｗ'!B17:K17,9)</f>
        <v>0</v>
      </c>
      <c r="F123" s="156">
        <f>VLOOKUP(15,'１×Ｗ'!B17:L17,10)</f>
        <v>0</v>
      </c>
      <c r="G123" s="125"/>
      <c r="H123" s="129" t="s">
        <v>16</v>
      </c>
      <c r="I123" s="410">
        <f>VLOOKUP(16,'１×Ｗ'!B18:K18,2)</f>
        <v>0</v>
      </c>
      <c r="J123" s="411" t="e">
        <v>#N/A</v>
      </c>
      <c r="K123" s="130" t="s">
        <v>21</v>
      </c>
      <c r="L123" s="155">
        <f>VLOOKUP(16,'１×Ｗ'!B18:K18,9)</f>
        <v>0</v>
      </c>
      <c r="M123" s="156">
        <f>VLOOKUP(16,'１×Ｗ'!B18:L18,10)</f>
        <v>0</v>
      </c>
    </row>
    <row r="124" spans="1:13" hidden="1">
      <c r="A124" s="131" t="s">
        <v>22</v>
      </c>
      <c r="B124" s="132" t="s">
        <v>17</v>
      </c>
      <c r="C124" s="133" t="s">
        <v>19</v>
      </c>
      <c r="D124" s="132" t="s">
        <v>23</v>
      </c>
      <c r="E124" s="134"/>
      <c r="F124" s="135"/>
      <c r="G124" s="125"/>
      <c r="H124" s="131" t="s">
        <v>22</v>
      </c>
      <c r="I124" s="132" t="s">
        <v>17</v>
      </c>
      <c r="J124" s="133" t="s">
        <v>19</v>
      </c>
      <c r="K124" s="132" t="s">
        <v>23</v>
      </c>
      <c r="L124" s="134"/>
      <c r="M124" s="135"/>
    </row>
    <row r="125" spans="1:13" ht="13.5" hidden="1" thickBot="1">
      <c r="A125" s="136" t="s">
        <v>24</v>
      </c>
      <c r="B125" s="137">
        <f>VLOOKUP(15,'１×Ｗ'!B17:K17,4)</f>
        <v>0</v>
      </c>
      <c r="C125" s="138">
        <f>VLOOKUP(15,'１×Ｗ'!B17:K17,5)</f>
        <v>0</v>
      </c>
      <c r="D125" s="137">
        <f>VLOOKUP(15,'１×Ｗ'!B17:K17,6)</f>
        <v>0</v>
      </c>
      <c r="E125" s="139"/>
      <c r="F125" s="15"/>
      <c r="G125" s="125"/>
      <c r="H125" s="136" t="s">
        <v>24</v>
      </c>
      <c r="I125" s="137">
        <f>VLOOKUP(16,'１×Ｗ'!B18:K18,4)</f>
        <v>0</v>
      </c>
      <c r="J125" s="138">
        <f>VLOOKUP(16,'１×Ｗ'!B18:K18,5)</f>
        <v>0</v>
      </c>
      <c r="K125" s="137">
        <f>VLOOKUP(16,'１×Ｗ'!B18:K18,6)</f>
        <v>0</v>
      </c>
      <c r="L125" s="139"/>
      <c r="M125" s="15"/>
    </row>
    <row r="126" spans="1:13" ht="13.5" hidden="1" thickBot="1">
      <c r="A126" s="15"/>
      <c r="B126" s="15"/>
      <c r="C126" s="15"/>
      <c r="D126" s="15"/>
      <c r="E126" s="15"/>
      <c r="F126" s="15"/>
      <c r="G126" s="125"/>
      <c r="H126" s="15"/>
      <c r="I126" s="15"/>
      <c r="J126" s="15"/>
      <c r="K126" s="15"/>
      <c r="L126" s="15"/>
      <c r="M126" s="15"/>
    </row>
    <row r="127" spans="1:13" ht="13.5" hidden="1" thickBot="1">
      <c r="A127" s="129" t="s">
        <v>16</v>
      </c>
      <c r="B127" s="410">
        <f>VLOOKUP(17,'１×Ｗ'!B19:K19,2)</f>
        <v>0</v>
      </c>
      <c r="C127" s="411" t="e">
        <v>#N/A</v>
      </c>
      <c r="D127" s="130" t="s">
        <v>21</v>
      </c>
      <c r="E127" s="155">
        <f>VLOOKUP(17,'１×Ｗ'!B19:K19,9)</f>
        <v>0</v>
      </c>
      <c r="F127" s="156">
        <f>VLOOKUP(17,'１×Ｗ'!B19:L19,10)</f>
        <v>0</v>
      </c>
      <c r="G127" s="125"/>
      <c r="H127" s="129" t="s">
        <v>16</v>
      </c>
      <c r="I127" s="410">
        <f>VLOOKUP(18,'１×Ｗ'!B20:K20,2)</f>
        <v>0</v>
      </c>
      <c r="J127" s="411" t="e">
        <v>#N/A</v>
      </c>
      <c r="K127" s="130" t="s">
        <v>21</v>
      </c>
      <c r="L127" s="155">
        <f>VLOOKUP(18,'１×Ｗ'!B20:K20,9)</f>
        <v>0</v>
      </c>
      <c r="M127" s="156">
        <f>VLOOKUP(18,'１×Ｗ'!B20:L20,10)</f>
        <v>0</v>
      </c>
    </row>
    <row r="128" spans="1:13" hidden="1">
      <c r="A128" s="131" t="s">
        <v>22</v>
      </c>
      <c r="B128" s="132" t="s">
        <v>17</v>
      </c>
      <c r="C128" s="133" t="s">
        <v>19</v>
      </c>
      <c r="D128" s="132" t="s">
        <v>23</v>
      </c>
      <c r="E128" s="134"/>
      <c r="F128" s="135"/>
      <c r="G128" s="125"/>
      <c r="H128" s="131" t="s">
        <v>22</v>
      </c>
      <c r="I128" s="132" t="s">
        <v>17</v>
      </c>
      <c r="J128" s="133" t="s">
        <v>19</v>
      </c>
      <c r="K128" s="132" t="s">
        <v>23</v>
      </c>
      <c r="L128" s="134"/>
      <c r="M128" s="135"/>
    </row>
    <row r="129" spans="1:13" ht="13.5" hidden="1" thickBot="1">
      <c r="A129" s="136" t="s">
        <v>24</v>
      </c>
      <c r="B129" s="137">
        <f>VLOOKUP(17,'１×Ｗ'!B19:K19,4)</f>
        <v>0</v>
      </c>
      <c r="C129" s="138">
        <f>VLOOKUP(17,'１×Ｗ'!B19:K19,5)</f>
        <v>0</v>
      </c>
      <c r="D129" s="137">
        <f>VLOOKUP(17,'１×Ｗ'!B19:K19,6)</f>
        <v>0</v>
      </c>
      <c r="E129" s="139"/>
      <c r="F129" s="15"/>
      <c r="G129" s="125"/>
      <c r="H129" s="136" t="s">
        <v>24</v>
      </c>
      <c r="I129" s="137">
        <f>VLOOKUP(18,'１×Ｗ'!B20:K20,4)</f>
        <v>0</v>
      </c>
      <c r="J129" s="138">
        <f>VLOOKUP(18,'１×Ｗ'!B20:K20,5)</f>
        <v>0</v>
      </c>
      <c r="K129" s="137">
        <f>VLOOKUP(18,'１×Ｗ'!B20:K20,6)</f>
        <v>0</v>
      </c>
      <c r="L129" s="139"/>
      <c r="M129" s="15"/>
    </row>
    <row r="130" spans="1:13" ht="13.5" hidden="1" thickBot="1">
      <c r="A130" s="15"/>
      <c r="B130" s="15"/>
      <c r="C130" s="15"/>
      <c r="D130" s="15"/>
      <c r="E130" s="15"/>
      <c r="F130" s="15"/>
      <c r="G130" s="146"/>
      <c r="H130" s="15"/>
      <c r="I130" s="15"/>
      <c r="J130" s="15"/>
      <c r="K130" s="15"/>
      <c r="L130" s="15"/>
      <c r="M130" s="15"/>
    </row>
    <row r="131" spans="1:13" ht="13.5" hidden="1" thickBot="1">
      <c r="A131" s="129" t="s">
        <v>16</v>
      </c>
      <c r="B131" s="410">
        <f>VLOOKUP(19,'１×Ｗ'!B21:K21,2)</f>
        <v>0</v>
      </c>
      <c r="C131" s="411" t="e">
        <v>#N/A</v>
      </c>
      <c r="D131" s="130" t="s">
        <v>21</v>
      </c>
      <c r="E131" s="155">
        <f>VLOOKUP(19,'１×Ｗ'!B21:K21,9)</f>
        <v>0</v>
      </c>
      <c r="F131" s="156">
        <f>VLOOKUP(19,'１×Ｗ'!B21:L21,10)</f>
        <v>0</v>
      </c>
      <c r="G131" s="146"/>
      <c r="H131" s="129" t="s">
        <v>16</v>
      </c>
      <c r="I131" s="410">
        <f>VLOOKUP(20,'１×Ｗ'!B22:K22,2)</f>
        <v>0</v>
      </c>
      <c r="J131" s="411" t="e">
        <v>#N/A</v>
      </c>
      <c r="K131" s="130" t="s">
        <v>21</v>
      </c>
      <c r="L131" s="155">
        <f>VLOOKUP(20,'１×Ｗ'!B22:K22,9)</f>
        <v>0</v>
      </c>
      <c r="M131" s="156">
        <f>VLOOKUP(20,'１×Ｗ'!B22:L22,10)</f>
        <v>0</v>
      </c>
    </row>
    <row r="132" spans="1:13" hidden="1">
      <c r="A132" s="131" t="s">
        <v>22</v>
      </c>
      <c r="B132" s="132" t="s">
        <v>17</v>
      </c>
      <c r="C132" s="133" t="s">
        <v>19</v>
      </c>
      <c r="D132" s="132" t="s">
        <v>23</v>
      </c>
      <c r="E132" s="134"/>
      <c r="F132" s="135"/>
      <c r="G132" s="146"/>
      <c r="H132" s="131" t="s">
        <v>22</v>
      </c>
      <c r="I132" s="132" t="s">
        <v>17</v>
      </c>
      <c r="J132" s="133" t="s">
        <v>19</v>
      </c>
      <c r="K132" s="132" t="s">
        <v>23</v>
      </c>
      <c r="L132" s="134"/>
      <c r="M132" s="135"/>
    </row>
    <row r="133" spans="1:13" ht="13.5" hidden="1" thickBot="1">
      <c r="A133" s="136" t="s">
        <v>24</v>
      </c>
      <c r="B133" s="137">
        <f>VLOOKUP(19,'１×Ｗ'!B21:K21,4)</f>
        <v>0</v>
      </c>
      <c r="C133" s="138">
        <f>VLOOKUP(19,'１×Ｗ'!B21:K21,5)</f>
        <v>0</v>
      </c>
      <c r="D133" s="137">
        <f>VLOOKUP(19,'１×Ｗ'!B21:K21,6)</f>
        <v>0</v>
      </c>
      <c r="E133" s="139"/>
      <c r="F133" s="15"/>
      <c r="G133" s="146"/>
      <c r="H133" s="136" t="s">
        <v>24</v>
      </c>
      <c r="I133" s="137">
        <f>VLOOKUP(20,'１×Ｗ'!B22:K22,4)</f>
        <v>0</v>
      </c>
      <c r="J133" s="138">
        <f>VLOOKUP(20,'１×Ｗ'!B22:K22,5)</f>
        <v>0</v>
      </c>
      <c r="K133" s="137">
        <f>VLOOKUP(20,'１×Ｗ'!B22:K22,6)</f>
        <v>0</v>
      </c>
      <c r="L133" s="139"/>
      <c r="M133" s="15"/>
    </row>
    <row r="134" spans="1:13" ht="13.5" hidden="1" thickBot="1">
      <c r="A134" s="15"/>
      <c r="B134" s="15"/>
      <c r="C134" s="15"/>
      <c r="D134" s="15"/>
      <c r="E134" s="15"/>
      <c r="F134" s="15"/>
      <c r="G134" s="146"/>
      <c r="H134" s="15"/>
      <c r="I134" s="15"/>
      <c r="J134" s="15"/>
      <c r="K134" s="15"/>
      <c r="L134" s="15"/>
      <c r="M134" s="15"/>
    </row>
    <row r="135" spans="1:13" ht="13.5" hidden="1" thickBot="1">
      <c r="A135" s="129" t="s">
        <v>16</v>
      </c>
      <c r="B135" s="410">
        <f>VLOOKUP(21,'１×Ｗ'!B23:K23,2)</f>
        <v>0</v>
      </c>
      <c r="C135" s="411" t="e">
        <v>#N/A</v>
      </c>
      <c r="D135" s="130" t="s">
        <v>21</v>
      </c>
      <c r="E135" s="155">
        <f>VLOOKUP(21,'１×Ｗ'!B23:K23,9)</f>
        <v>0</v>
      </c>
      <c r="F135" s="156">
        <f>VLOOKUP(21,'１×Ｗ'!B23:L23,10)</f>
        <v>0</v>
      </c>
      <c r="G135" s="146"/>
      <c r="H135" s="129" t="s">
        <v>16</v>
      </c>
      <c r="I135" s="410">
        <f>VLOOKUP(22,'１×Ｗ'!B24:K24,2)</f>
        <v>0</v>
      </c>
      <c r="J135" s="411" t="e">
        <v>#N/A</v>
      </c>
      <c r="K135" s="130" t="s">
        <v>21</v>
      </c>
      <c r="L135" s="155">
        <f>VLOOKUP(22,'１×Ｗ'!B24:K24,9)</f>
        <v>0</v>
      </c>
      <c r="M135" s="156">
        <f>VLOOKUP(22,'１×Ｗ'!B24:L24,10)</f>
        <v>0</v>
      </c>
    </row>
    <row r="136" spans="1:13" hidden="1">
      <c r="A136" s="131" t="s">
        <v>22</v>
      </c>
      <c r="B136" s="132" t="s">
        <v>17</v>
      </c>
      <c r="C136" s="133" t="s">
        <v>19</v>
      </c>
      <c r="D136" s="132" t="s">
        <v>23</v>
      </c>
      <c r="E136" s="134"/>
      <c r="F136" s="135"/>
      <c r="G136" s="146"/>
      <c r="H136" s="131" t="s">
        <v>22</v>
      </c>
      <c r="I136" s="132" t="s">
        <v>17</v>
      </c>
      <c r="J136" s="133" t="s">
        <v>19</v>
      </c>
      <c r="K136" s="132" t="s">
        <v>23</v>
      </c>
      <c r="L136" s="134"/>
      <c r="M136" s="135"/>
    </row>
    <row r="137" spans="1:13" ht="13.5" hidden="1" thickBot="1">
      <c r="A137" s="136" t="s">
        <v>24</v>
      </c>
      <c r="B137" s="137">
        <f>VLOOKUP(21,'１×Ｗ'!B23:K23,4)</f>
        <v>0</v>
      </c>
      <c r="C137" s="138">
        <f>VLOOKUP(21,'１×Ｗ'!B23:K23,5)</f>
        <v>0</v>
      </c>
      <c r="D137" s="137">
        <f>VLOOKUP(21,'１×Ｗ'!B23:K23,6)</f>
        <v>0</v>
      </c>
      <c r="E137" s="139"/>
      <c r="F137" s="15"/>
      <c r="G137" s="146"/>
      <c r="H137" s="136" t="s">
        <v>24</v>
      </c>
      <c r="I137" s="137">
        <f>VLOOKUP(22,'１×Ｗ'!B24:K24,4)</f>
        <v>0</v>
      </c>
      <c r="J137" s="138">
        <f>VLOOKUP(22,'１×Ｗ'!B24:K24,5)</f>
        <v>0</v>
      </c>
      <c r="K137" s="137">
        <f>VLOOKUP(22,'１×Ｗ'!B24:K24,6)</f>
        <v>0</v>
      </c>
      <c r="L137" s="139"/>
      <c r="M137" s="15"/>
    </row>
    <row r="138" spans="1:13">
      <c r="A138" s="15"/>
      <c r="B138" s="15"/>
      <c r="C138" s="15"/>
      <c r="D138" s="15"/>
      <c r="E138" s="15"/>
      <c r="F138" s="15"/>
      <c r="G138" s="146"/>
      <c r="H138" s="15"/>
      <c r="I138" s="15"/>
      <c r="J138" s="15"/>
      <c r="K138" s="15"/>
      <c r="L138" s="15"/>
      <c r="M138" s="15"/>
    </row>
    <row r="139" spans="1:13" ht="16.5">
      <c r="A139" s="147" t="s">
        <v>105</v>
      </c>
      <c r="B139" s="15"/>
      <c r="C139" s="15"/>
      <c r="D139" s="15"/>
      <c r="E139" s="15"/>
      <c r="F139" s="15"/>
      <c r="G139" s="146"/>
      <c r="H139" s="15"/>
      <c r="I139" s="15"/>
      <c r="J139" s="15"/>
      <c r="K139" s="15"/>
      <c r="L139" s="15"/>
      <c r="M139" s="15"/>
    </row>
    <row r="140" spans="1:13" ht="13.5" thickBot="1">
      <c r="A140" s="15"/>
      <c r="B140" s="15"/>
      <c r="C140" s="15"/>
      <c r="D140" s="15"/>
      <c r="E140" s="15"/>
      <c r="F140" s="15"/>
      <c r="G140" s="146"/>
      <c r="H140" s="15"/>
      <c r="I140" s="15"/>
      <c r="J140" s="15"/>
      <c r="K140" s="15"/>
      <c r="L140" s="15"/>
      <c r="M140" s="15"/>
    </row>
    <row r="141" spans="1:13" ht="13.5" thickBot="1">
      <c r="A141" s="129" t="s">
        <v>16</v>
      </c>
      <c r="B141" s="410" t="str">
        <f>VLOOKUP(7,'2×M'!C3:L3,2)</f>
        <v>沼津工業高校</v>
      </c>
      <c r="C141" s="411"/>
      <c r="D141" s="130" t="s">
        <v>21</v>
      </c>
      <c r="E141" s="155" t="str">
        <f>VLOOKUP(7,'2×M'!C3:L3,9)</f>
        <v>杉山</v>
      </c>
      <c r="F141" s="156" t="str">
        <f>VLOOKUP(7,'2×M'!C3:M3,10)</f>
        <v>美夏</v>
      </c>
      <c r="G141" s="125"/>
      <c r="H141" s="129" t="s">
        <v>16</v>
      </c>
      <c r="I141" s="410" t="str">
        <f>VLOOKUP(10,'2×M'!C6:L6,2)</f>
        <v>沼津東高校A</v>
      </c>
      <c r="J141" s="411"/>
      <c r="K141" s="130" t="s">
        <v>21</v>
      </c>
      <c r="L141" s="155" t="str">
        <f>VLOOKUP(10,'2×M'!C6:L6,9)</f>
        <v>鈴木</v>
      </c>
      <c r="M141" s="156" t="str">
        <f>VLOOKUP(10,'2×M'!C6:M6,10)</f>
        <v>亮次</v>
      </c>
    </row>
    <row r="142" spans="1:13">
      <c r="A142" s="140" t="s">
        <v>22</v>
      </c>
      <c r="B142" s="141" t="s">
        <v>17</v>
      </c>
      <c r="C142" s="142" t="s">
        <v>19</v>
      </c>
      <c r="D142" s="141" t="s">
        <v>23</v>
      </c>
      <c r="E142" s="134"/>
      <c r="F142" s="135"/>
      <c r="G142" s="125"/>
      <c r="H142" s="140" t="s">
        <v>5</v>
      </c>
      <c r="I142" s="141" t="s">
        <v>17</v>
      </c>
      <c r="J142" s="142" t="s">
        <v>19</v>
      </c>
      <c r="K142" s="141" t="s">
        <v>23</v>
      </c>
      <c r="L142" s="134"/>
      <c r="M142" s="135"/>
    </row>
    <row r="143" spans="1:13">
      <c r="A143" s="148" t="s">
        <v>24</v>
      </c>
      <c r="B143" s="149" t="str">
        <f>VLOOKUP(7,'2×M'!C3:L3,4)</f>
        <v>髙村</v>
      </c>
      <c r="C143" s="150" t="str">
        <f>VLOOKUP(7,'2×M'!C3:L3,5)</f>
        <v>崚</v>
      </c>
      <c r="D143" s="149">
        <f>VLOOKUP(7,'2×M'!C3:L3,6)</f>
        <v>3</v>
      </c>
      <c r="E143" s="139"/>
      <c r="F143" s="15"/>
      <c r="G143" s="125"/>
      <c r="H143" s="148" t="s">
        <v>24</v>
      </c>
      <c r="I143" s="149" t="str">
        <f>VLOOKUP(11,'2×M'!C6:L6,4)</f>
        <v>大西</v>
      </c>
      <c r="J143" s="150" t="str">
        <f>VLOOKUP(10,'2×M'!C6:L6,5)</f>
        <v>晃太郎</v>
      </c>
      <c r="K143" s="149">
        <f>VLOOKUP(10,'2×M'!C6:L6,6)</f>
        <v>3</v>
      </c>
      <c r="L143" s="139"/>
      <c r="M143" s="15"/>
    </row>
    <row r="144" spans="1:13">
      <c r="A144" s="148" t="s">
        <v>107</v>
      </c>
      <c r="B144" s="149" t="str">
        <f>VLOOKUP(8,'2×M'!C4:L4,4)</f>
        <v>川本</v>
      </c>
      <c r="C144" s="150" t="str">
        <f>VLOOKUP(8,'2×M'!C4:L4,5)</f>
        <v>晴</v>
      </c>
      <c r="D144" s="149">
        <f>VLOOKUP(8,'2×M'!C4:L4,6)</f>
        <v>3</v>
      </c>
      <c r="E144" s="139"/>
      <c r="F144" s="15"/>
      <c r="G144" s="126"/>
      <c r="H144" s="148" t="s">
        <v>107</v>
      </c>
      <c r="I144" s="149" t="str">
        <f>VLOOKUP(11,'2×M'!C7:L7,4)</f>
        <v>青木</v>
      </c>
      <c r="J144" s="150" t="str">
        <f>VLOOKUP(11,'2×M'!C7:L7,5)</f>
        <v>航世</v>
      </c>
      <c r="K144" s="149">
        <f>VLOOKUP(11,'2×M'!C7:L7,6)</f>
        <v>3</v>
      </c>
      <c r="L144" s="139"/>
      <c r="M144" s="15"/>
    </row>
    <row r="145" spans="1:13" ht="13.5" thickBot="1">
      <c r="A145" s="136" t="s">
        <v>27</v>
      </c>
      <c r="B145" s="137">
        <f>VLOOKUP(9,'2×M'!C5:L5,4)</f>
        <v>0</v>
      </c>
      <c r="C145" s="138">
        <f>VLOOKUP(9,'2×M'!C5:L5,5)</f>
        <v>0</v>
      </c>
      <c r="D145" s="137">
        <f>VLOOKUP(9,'2×M'!C5:L5,6)</f>
        <v>0</v>
      </c>
      <c r="E145" s="139"/>
      <c r="F145" s="15"/>
      <c r="G145" s="125"/>
      <c r="H145" s="136" t="s">
        <v>27</v>
      </c>
      <c r="I145" s="137" t="str">
        <f>VLOOKUP(12,'2×M'!C8:L8,4)</f>
        <v>深田</v>
      </c>
      <c r="J145" s="138" t="str">
        <f>VLOOKUP(12,'2×M'!C8:L8,5)</f>
        <v>真翔</v>
      </c>
      <c r="K145" s="137">
        <f>VLOOKUP(12,'2×M'!C8:L8,6)</f>
        <v>3</v>
      </c>
      <c r="L145" s="139"/>
      <c r="M145" s="15"/>
    </row>
    <row r="146" spans="1:13" ht="13.5" thickBot="1">
      <c r="A146" s="125"/>
      <c r="B146" s="125"/>
      <c r="C146" s="126"/>
      <c r="D146" s="125"/>
      <c r="E146" s="126"/>
      <c r="F146" s="126"/>
      <c r="G146" s="125"/>
      <c r="H146" s="125"/>
      <c r="I146" s="125"/>
      <c r="J146" s="126"/>
      <c r="K146" s="125"/>
      <c r="L146" s="126"/>
      <c r="M146" s="126"/>
    </row>
    <row r="147" spans="1:13" ht="13.5" thickBot="1">
      <c r="A147" s="129" t="s">
        <v>16</v>
      </c>
      <c r="B147" s="410" t="str">
        <f>VLOOKUP(13,'2×M'!C9:L9,2)</f>
        <v>沼津東高校B</v>
      </c>
      <c r="C147" s="411"/>
      <c r="D147" s="130" t="s">
        <v>21</v>
      </c>
      <c r="E147" s="155" t="str">
        <f>VLOOKUP(13,'2×M'!C9:L9,9)</f>
        <v>鈴木</v>
      </c>
      <c r="F147" s="156" t="str">
        <f>VLOOKUP(13,'2×M'!C9:M9,10)</f>
        <v>駿麻</v>
      </c>
      <c r="G147" s="125"/>
      <c r="H147" s="129" t="s">
        <v>16</v>
      </c>
      <c r="I147" s="410" t="str">
        <f>VLOOKUP(16,'2×M'!C12:L12,2)</f>
        <v>沼津東高校C</v>
      </c>
      <c r="J147" s="411"/>
      <c r="K147" s="130" t="s">
        <v>21</v>
      </c>
      <c r="L147" s="155" t="str">
        <f>VLOOKUP(16,'2×M'!C12:L12,9)</f>
        <v>鈴木</v>
      </c>
      <c r="M147" s="156" t="str">
        <f>VLOOKUP(16,'2×M'!C12:M12,10)</f>
        <v>駿麻</v>
      </c>
    </row>
    <row r="148" spans="1:13">
      <c r="A148" s="140" t="s">
        <v>22</v>
      </c>
      <c r="B148" s="141" t="s">
        <v>17</v>
      </c>
      <c r="C148" s="142" t="s">
        <v>19</v>
      </c>
      <c r="D148" s="141" t="s">
        <v>23</v>
      </c>
      <c r="E148" s="134"/>
      <c r="F148" s="135"/>
      <c r="G148" s="125"/>
      <c r="H148" s="140" t="s">
        <v>22</v>
      </c>
      <c r="I148" s="141" t="s">
        <v>17</v>
      </c>
      <c r="J148" s="142" t="s">
        <v>19</v>
      </c>
      <c r="K148" s="141" t="s">
        <v>23</v>
      </c>
      <c r="L148" s="134"/>
      <c r="M148" s="135"/>
    </row>
    <row r="149" spans="1:13">
      <c r="A149" s="148" t="s">
        <v>24</v>
      </c>
      <c r="B149" s="149" t="str">
        <f>VLOOKUP(13,'2×M'!C9:L9,4)</f>
        <v>小倉</v>
      </c>
      <c r="C149" s="150" t="str">
        <f>VLOOKUP(13,'2×M'!C9:L9,5)</f>
        <v>睦貴</v>
      </c>
      <c r="D149" s="149">
        <f>VLOOKUP(13,'2×M'!C9:L9,6)</f>
        <v>2</v>
      </c>
      <c r="E149" s="139"/>
      <c r="F149" s="15"/>
      <c r="G149" s="125"/>
      <c r="H149" s="148" t="s">
        <v>24</v>
      </c>
      <c r="I149" s="149" t="str">
        <f>VLOOKUP(16,'2×M'!C12:L12,4)</f>
        <v>秋山</v>
      </c>
      <c r="J149" s="150" t="str">
        <f>VLOOKUP(16,'2×M'!C12:L12,5)</f>
        <v>晶</v>
      </c>
      <c r="K149" s="149">
        <f>VLOOKUP(16,'2×M'!C12:L12,6)</f>
        <v>2</v>
      </c>
      <c r="L149" s="139"/>
      <c r="M149" s="15"/>
    </row>
    <row r="150" spans="1:13">
      <c r="A150" s="148" t="s">
        <v>107</v>
      </c>
      <c r="B150" s="149" t="str">
        <f>VLOOKUP(14,'2×M'!C10:L10,4)</f>
        <v>森</v>
      </c>
      <c r="C150" s="150" t="str">
        <f>VLOOKUP(14,'2×M'!C10:L10,5)</f>
        <v>啓太</v>
      </c>
      <c r="D150" s="149">
        <f>VLOOKUP(14,'2×M'!C10:L10,6)</f>
        <v>3</v>
      </c>
      <c r="E150" s="139"/>
      <c r="F150" s="15"/>
      <c r="G150" s="126"/>
      <c r="H150" s="148" t="s">
        <v>107</v>
      </c>
      <c r="I150" s="149" t="str">
        <f>VLOOKUP(17,'2×M'!C13:L13,4)</f>
        <v>小木曽</v>
      </c>
      <c r="J150" s="150" t="str">
        <f>VLOOKUP(17,'2×M'!C13:L13,5)</f>
        <v>櫂</v>
      </c>
      <c r="K150" s="149">
        <f>VLOOKUP(17,'2×M'!C13:L13,6)</f>
        <v>2</v>
      </c>
      <c r="L150" s="139"/>
      <c r="M150" s="15"/>
    </row>
    <row r="151" spans="1:13" ht="13.5" thickBot="1">
      <c r="A151" s="136" t="s">
        <v>27</v>
      </c>
      <c r="B151" s="137">
        <f>VLOOKUP(15,'2×M'!C11:L11,4)</f>
        <v>0</v>
      </c>
      <c r="C151" s="138">
        <f>VLOOKUP(15,'2×M'!C11:L11,5)</f>
        <v>0</v>
      </c>
      <c r="D151" s="137">
        <f>VLOOKUP(15,'2×M'!C11:L11,6)</f>
        <v>0</v>
      </c>
      <c r="E151" s="139"/>
      <c r="F151" s="15"/>
      <c r="G151" s="125"/>
      <c r="H151" s="136" t="s">
        <v>27</v>
      </c>
      <c r="I151" s="137" t="str">
        <f>VLOOKUP(18,'2×M'!C14:L14,4)</f>
        <v>小山</v>
      </c>
      <c r="J151" s="138" t="str">
        <f>VLOOKUP(18,'2×M'!C14:L14,5)</f>
        <v>宰</v>
      </c>
      <c r="K151" s="137">
        <f>VLOOKUP(18,'2×M'!C14:L14,6)</f>
        <v>2</v>
      </c>
      <c r="L151" s="139"/>
      <c r="M151" s="15"/>
    </row>
    <row r="152" spans="1:13" ht="13.5" thickBot="1">
      <c r="A152" s="125"/>
      <c r="B152" s="125"/>
      <c r="C152" s="126"/>
      <c r="D152" s="125"/>
      <c r="E152" s="126"/>
      <c r="F152" s="126"/>
      <c r="G152" s="125"/>
      <c r="H152" s="125"/>
      <c r="I152" s="125"/>
      <c r="J152" s="126"/>
      <c r="K152" s="125"/>
      <c r="L152" s="126"/>
      <c r="M152" s="126"/>
    </row>
    <row r="153" spans="1:13" ht="13.5" thickBot="1">
      <c r="A153" s="129" t="s">
        <v>16</v>
      </c>
      <c r="B153" s="410" t="str">
        <f>VLOOKUP(19,'2×M'!C15:L15,2)</f>
        <v>浜松大平台高校</v>
      </c>
      <c r="C153" s="411"/>
      <c r="D153" s="130" t="s">
        <v>21</v>
      </c>
      <c r="E153" s="155" t="str">
        <f>VLOOKUP(19,'2×M'!C15:L15,9)</f>
        <v>藤田</v>
      </c>
      <c r="F153" s="156" t="str">
        <f>VLOOKUP(19,'2×M'!C15:M15,10)</f>
        <v>達広</v>
      </c>
      <c r="G153" s="125"/>
      <c r="H153" s="129" t="s">
        <v>16</v>
      </c>
      <c r="I153" s="410" t="str">
        <f>VLOOKUP(22,'2×M'!C18:L18,2)</f>
        <v>浜松湖南高校A</v>
      </c>
      <c r="J153" s="411"/>
      <c r="K153" s="130" t="s">
        <v>21</v>
      </c>
      <c r="L153" s="155" t="str">
        <f>VLOOKUP(22,'2×M'!C18:L18,9)</f>
        <v>山崎</v>
      </c>
      <c r="M153" s="156" t="str">
        <f>VLOOKUP(22,'2×M'!C18:M18,10)</f>
        <v>武敏</v>
      </c>
    </row>
    <row r="154" spans="1:13">
      <c r="A154" s="140" t="s">
        <v>22</v>
      </c>
      <c r="B154" s="141" t="s">
        <v>17</v>
      </c>
      <c r="C154" s="142" t="s">
        <v>19</v>
      </c>
      <c r="D154" s="141" t="s">
        <v>23</v>
      </c>
      <c r="E154" s="134"/>
      <c r="F154" s="135"/>
      <c r="G154" s="125"/>
      <c r="H154" s="140" t="s">
        <v>22</v>
      </c>
      <c r="I154" s="141" t="s">
        <v>17</v>
      </c>
      <c r="J154" s="142" t="s">
        <v>19</v>
      </c>
      <c r="K154" s="141" t="s">
        <v>23</v>
      </c>
      <c r="L154" s="134"/>
      <c r="M154" s="135"/>
    </row>
    <row r="155" spans="1:13">
      <c r="A155" s="148" t="s">
        <v>24</v>
      </c>
      <c r="B155" s="149" t="str">
        <f>VLOOKUP(19,'2×M'!C15:L15,4)</f>
        <v>堀部</v>
      </c>
      <c r="C155" s="150" t="str">
        <f>VLOOKUP(19,'2×M'!C15:L15,5)</f>
        <v>時羽</v>
      </c>
      <c r="D155" s="149">
        <f>VLOOKUP(19,'2×M'!C15:L15,6)</f>
        <v>2</v>
      </c>
      <c r="E155" s="139"/>
      <c r="F155" s="15"/>
      <c r="G155" s="125"/>
      <c r="H155" s="148" t="s">
        <v>24</v>
      </c>
      <c r="I155" s="149" t="str">
        <f>VLOOKUP(22,'2×M'!C18:L18,4)</f>
        <v>内藤</v>
      </c>
      <c r="J155" s="150" t="str">
        <f>VLOOKUP(22,'2×M'!C18:L18,5)</f>
        <v>康太</v>
      </c>
      <c r="K155" s="149">
        <f>VLOOKUP(22,'2×M'!C18:L18,6)</f>
        <v>2</v>
      </c>
      <c r="L155" s="139"/>
      <c r="M155" s="15"/>
    </row>
    <row r="156" spans="1:13">
      <c r="A156" s="148" t="s">
        <v>107</v>
      </c>
      <c r="B156" s="149" t="str">
        <f>VLOOKUP(20,'2×M'!C16:L16,4)</f>
        <v>鈴木</v>
      </c>
      <c r="C156" s="150" t="str">
        <f>VLOOKUP(20,'2×M'!C16:L16,5)</f>
        <v>辿馬</v>
      </c>
      <c r="D156" s="149">
        <f>VLOOKUP(20,'2×M'!C16:L16,6)</f>
        <v>2</v>
      </c>
      <c r="E156" s="139"/>
      <c r="F156" s="15"/>
      <c r="G156" s="126"/>
      <c r="H156" s="148" t="s">
        <v>107</v>
      </c>
      <c r="I156" s="149" t="str">
        <f>VLOOKUP(23,'2×M'!C19:L19,4)</f>
        <v>高橋</v>
      </c>
      <c r="J156" s="150" t="str">
        <f>VLOOKUP(23,'2×M'!C19:L19,5)</f>
        <v>駿介</v>
      </c>
      <c r="K156" s="149">
        <f>VLOOKUP(23,'2×M'!C19:L19,6)</f>
        <v>3</v>
      </c>
      <c r="L156" s="139"/>
      <c r="M156" s="15"/>
    </row>
    <row r="157" spans="1:13" ht="13.5" thickBot="1">
      <c r="A157" s="136" t="s">
        <v>27</v>
      </c>
      <c r="B157" s="137">
        <f>VLOOKUP(21,'2×M'!C17:L17,4)</f>
        <v>0</v>
      </c>
      <c r="C157" s="138">
        <f>VLOOKUP(21,'2×M'!C17:L17,5)</f>
        <v>0</v>
      </c>
      <c r="D157" s="137">
        <f>VLOOKUP(21,'2×M'!C17:L17,6)</f>
        <v>0</v>
      </c>
      <c r="E157" s="139"/>
      <c r="F157" s="15"/>
      <c r="G157" s="125"/>
      <c r="H157" s="136" t="s">
        <v>27</v>
      </c>
      <c r="I157" s="137" t="str">
        <f>VLOOKUP(24,'2×M'!C20:L20,4)</f>
        <v>渥美</v>
      </c>
      <c r="J157" s="138" t="str">
        <f>VLOOKUP(24,'2×M'!C20:L20,5)</f>
        <v>智也</v>
      </c>
      <c r="K157" s="137">
        <f>VLOOKUP(24,'2×M'!C20:L20,6)</f>
        <v>2</v>
      </c>
      <c r="L157" s="139"/>
      <c r="M157" s="15"/>
    </row>
    <row r="158" spans="1:13" ht="13.5" thickBot="1">
      <c r="A158" s="125"/>
      <c r="B158" s="125"/>
      <c r="C158" s="126"/>
      <c r="D158" s="125"/>
      <c r="E158" s="126"/>
      <c r="F158" s="126"/>
      <c r="G158" s="125"/>
      <c r="H158" s="125"/>
      <c r="I158" s="125"/>
      <c r="J158" s="126"/>
      <c r="K158" s="125"/>
      <c r="L158" s="126"/>
      <c r="M158" s="126"/>
    </row>
    <row r="159" spans="1:13" ht="13.5" thickBot="1">
      <c r="A159" s="129" t="s">
        <v>16</v>
      </c>
      <c r="B159" s="410" t="str">
        <f>VLOOKUP(25,'2×M'!C21:L21,2)</f>
        <v>浜松湖南高校B</v>
      </c>
      <c r="C159" s="411"/>
      <c r="D159" s="130" t="s">
        <v>21</v>
      </c>
      <c r="E159" s="155" t="str">
        <f>VLOOKUP(25,'2×M'!C21:L21,9)</f>
        <v>山崎</v>
      </c>
      <c r="F159" s="156" t="str">
        <f>VLOOKUP(25,'2×M'!C21:M21,10)</f>
        <v>武敏</v>
      </c>
      <c r="G159" s="125"/>
      <c r="H159" s="129" t="s">
        <v>16</v>
      </c>
      <c r="I159" s="410" t="str">
        <f>VLOOKUP(28,'2×M'!C24:L24,2)</f>
        <v>浜松湖南高校C</v>
      </c>
      <c r="J159" s="411"/>
      <c r="K159" s="130" t="s">
        <v>21</v>
      </c>
      <c r="L159" s="155" t="str">
        <f>VLOOKUP(28,'2×M'!C24:L24,9)</f>
        <v>山崎</v>
      </c>
      <c r="M159" s="156" t="str">
        <f>VLOOKUP(28,'2×M'!C24:M24,10)</f>
        <v>武敏</v>
      </c>
    </row>
    <row r="160" spans="1:13">
      <c r="A160" s="140" t="s">
        <v>22</v>
      </c>
      <c r="B160" s="141" t="s">
        <v>17</v>
      </c>
      <c r="C160" s="142" t="s">
        <v>19</v>
      </c>
      <c r="D160" s="141" t="s">
        <v>23</v>
      </c>
      <c r="E160" s="134"/>
      <c r="F160" s="135"/>
      <c r="G160" s="125"/>
      <c r="H160" s="140" t="s">
        <v>22</v>
      </c>
      <c r="I160" s="141" t="s">
        <v>17</v>
      </c>
      <c r="J160" s="142" t="s">
        <v>19</v>
      </c>
      <c r="K160" s="141" t="s">
        <v>23</v>
      </c>
      <c r="L160" s="134"/>
      <c r="M160" s="135"/>
    </row>
    <row r="161" spans="1:13">
      <c r="A161" s="148" t="s">
        <v>24</v>
      </c>
      <c r="B161" s="149" t="str">
        <f>VLOOKUP(25,'2×M'!C21:L21,4)</f>
        <v>高津</v>
      </c>
      <c r="C161" s="150" t="str">
        <f>VLOOKUP(25,'2×M'!C21:L21,5)</f>
        <v>幹</v>
      </c>
      <c r="D161" s="149">
        <f>VLOOKUP(25,'2×M'!C21:L21,6)</f>
        <v>2</v>
      </c>
      <c r="E161" s="139"/>
      <c r="F161" s="15"/>
      <c r="G161" s="125"/>
      <c r="H161" s="148" t="s">
        <v>24</v>
      </c>
      <c r="I161" s="149" t="str">
        <f>VLOOKUP(28,'2×M'!C24:L24,4)</f>
        <v>猪原</v>
      </c>
      <c r="J161" s="150" t="str">
        <f>VLOOKUP(28,'2×M'!C24:L24,5)</f>
        <v>瑞生</v>
      </c>
      <c r="K161" s="149">
        <f>VLOOKUP(28,'2×M'!C24:L24,6)</f>
        <v>2</v>
      </c>
      <c r="L161" s="139"/>
      <c r="M161" s="15"/>
    </row>
    <row r="162" spans="1:13">
      <c r="A162" s="148" t="s">
        <v>107</v>
      </c>
      <c r="B162" s="149" t="str">
        <f>VLOOKUP(26,'2×M'!C22:L22,4)</f>
        <v>河合</v>
      </c>
      <c r="C162" s="150" t="str">
        <f>VLOOKUP(26,'2×M'!C22:L22,5)</f>
        <v>鳳汰</v>
      </c>
      <c r="D162" s="149">
        <f>VLOOKUP(26,'2×M'!C22:L22,6)</f>
        <v>2</v>
      </c>
      <c r="E162" s="139"/>
      <c r="F162" s="15"/>
      <c r="G162" s="126"/>
      <c r="H162" s="148" t="s">
        <v>107</v>
      </c>
      <c r="I162" s="149" t="str">
        <f>VLOOKUP(29,'2×M'!C25:L25,4)</f>
        <v>米澤</v>
      </c>
      <c r="J162" s="150" t="str">
        <f>VLOOKUP(29,'2×M'!C25:L25,5)</f>
        <v>涼斗</v>
      </c>
      <c r="K162" s="149">
        <f>VLOOKUP(29,'2×M'!C25:L25,6)</f>
        <v>2</v>
      </c>
      <c r="L162" s="139"/>
      <c r="M162" s="15"/>
    </row>
    <row r="163" spans="1:13" ht="13.5" thickBot="1">
      <c r="A163" s="136" t="s">
        <v>27</v>
      </c>
      <c r="B163" s="137" t="str">
        <f>VLOOKUP(27,'2×M'!C23:L23,4)</f>
        <v>蓑部</v>
      </c>
      <c r="C163" s="138" t="str">
        <f>VLOOKUP(27,'2×M'!C23:L23,5)</f>
        <v>匠之介</v>
      </c>
      <c r="D163" s="137">
        <f>VLOOKUP(27,'2×M'!C23:L23,6)</f>
        <v>2</v>
      </c>
      <c r="E163" s="139"/>
      <c r="F163" s="15"/>
      <c r="G163" s="125"/>
      <c r="H163" s="136" t="s">
        <v>27</v>
      </c>
      <c r="I163" s="137" t="str">
        <f>VLOOKUP(30,'2×M'!C26:L26,4)</f>
        <v>松島</v>
      </c>
      <c r="J163" s="138" t="str">
        <f>VLOOKUP(30,'2×M'!C26:L26,5)</f>
        <v>煌起</v>
      </c>
      <c r="K163" s="137">
        <f>VLOOKUP(30,'2×M'!C26:L26,6)</f>
        <v>2</v>
      </c>
      <c r="L163" s="139"/>
      <c r="M163" s="15"/>
    </row>
    <row r="164" spans="1:13" ht="13.5" thickBot="1">
      <c r="A164" s="125"/>
      <c r="B164" s="125"/>
      <c r="C164" s="126"/>
      <c r="D164" s="125"/>
      <c r="E164" s="126"/>
      <c r="F164" s="126"/>
      <c r="G164" s="125"/>
      <c r="H164" s="125"/>
      <c r="I164" s="125"/>
      <c r="J164" s="126"/>
      <c r="K164" s="125"/>
      <c r="L164" s="126"/>
      <c r="M164" s="126"/>
    </row>
    <row r="165" spans="1:13" ht="13.5" thickBot="1">
      <c r="A165" s="129" t="s">
        <v>16</v>
      </c>
      <c r="B165" s="410" t="str">
        <f>VLOOKUP(31,'2×M'!C27:L27,2)</f>
        <v>浜松湖南高校D</v>
      </c>
      <c r="C165" s="411"/>
      <c r="D165" s="130" t="s">
        <v>21</v>
      </c>
      <c r="E165" s="155" t="str">
        <f>VLOOKUP(31,'2×M'!C27:L27,9)</f>
        <v>山崎</v>
      </c>
      <c r="F165" s="156" t="str">
        <f>VLOOKUP(31,'2×M'!C27:M27,10)</f>
        <v>武敏</v>
      </c>
      <c r="G165" s="125"/>
      <c r="H165" s="129" t="s">
        <v>16</v>
      </c>
      <c r="I165" s="410" t="str">
        <f>VLOOKUP(34,'2×M'!C30:L30,2)</f>
        <v>浜松北高校A</v>
      </c>
      <c r="J165" s="411"/>
      <c r="K165" s="130" t="s">
        <v>21</v>
      </c>
      <c r="L165" s="155" t="str">
        <f>VLOOKUP(34,'2×M'!C30:L30,9)</f>
        <v>萩原</v>
      </c>
      <c r="M165" s="156" t="str">
        <f>VLOOKUP(34,'2×M'!C30:M30,10)</f>
        <v>康治</v>
      </c>
    </row>
    <row r="166" spans="1:13">
      <c r="A166" s="140" t="s">
        <v>22</v>
      </c>
      <c r="B166" s="141" t="s">
        <v>17</v>
      </c>
      <c r="C166" s="142" t="s">
        <v>19</v>
      </c>
      <c r="D166" s="141" t="s">
        <v>23</v>
      </c>
      <c r="E166" s="134"/>
      <c r="F166" s="135"/>
      <c r="G166" s="125"/>
      <c r="H166" s="140" t="s">
        <v>22</v>
      </c>
      <c r="I166" s="141" t="s">
        <v>17</v>
      </c>
      <c r="J166" s="142" t="s">
        <v>19</v>
      </c>
      <c r="K166" s="141" t="s">
        <v>23</v>
      </c>
      <c r="L166" s="134"/>
      <c r="M166" s="135"/>
    </row>
    <row r="167" spans="1:13">
      <c r="A167" s="148" t="s">
        <v>24</v>
      </c>
      <c r="B167" s="149" t="str">
        <f>VLOOKUP(31,'2×M'!C27:L27,4)</f>
        <v>久木山</v>
      </c>
      <c r="C167" s="150" t="str">
        <f>VLOOKUP(31,'2×M'!C27:L27,5)</f>
        <v>颯汰</v>
      </c>
      <c r="D167" s="149">
        <f>VLOOKUP(31,'2×M'!C27:L27,6)</f>
        <v>2</v>
      </c>
      <c r="E167" s="139"/>
      <c r="F167" s="15"/>
      <c r="G167" s="125"/>
      <c r="H167" s="148" t="s">
        <v>24</v>
      </c>
      <c r="I167" s="149" t="str">
        <f>VLOOKUP(34,'2×M'!C30:L30,4)</f>
        <v>松本</v>
      </c>
      <c r="J167" s="150" t="str">
        <f>VLOOKUP(34,'2×M'!C30:L30,5)</f>
        <v>礼</v>
      </c>
      <c r="K167" s="149">
        <f>VLOOKUP(34,'2×M'!C30:L30,6)</f>
        <v>3</v>
      </c>
      <c r="L167" s="139"/>
      <c r="M167" s="15"/>
    </row>
    <row r="168" spans="1:13">
      <c r="A168" s="148" t="s">
        <v>107</v>
      </c>
      <c r="B168" s="149" t="str">
        <f>VLOOKUP(32,'2×M'!C28:L28,4)</f>
        <v>山崎</v>
      </c>
      <c r="C168" s="150" t="str">
        <f>VLOOKUP(32,'2×M'!C28:L28,5)</f>
        <v>凌生</v>
      </c>
      <c r="D168" s="149">
        <f>VLOOKUP(32,'2×M'!C28:L28,6)</f>
        <v>2</v>
      </c>
      <c r="E168" s="139"/>
      <c r="F168" s="15"/>
      <c r="G168" s="126"/>
      <c r="H168" s="148" t="s">
        <v>107</v>
      </c>
      <c r="I168" s="149" t="str">
        <f>VLOOKUP(35,'2×M'!C31:L31,4)</f>
        <v>鈴木</v>
      </c>
      <c r="J168" s="150" t="str">
        <f>VLOOKUP(35,'2×M'!C31:L31,5)</f>
        <v>琢未</v>
      </c>
      <c r="K168" s="149">
        <f>VLOOKUP(35,'2×M'!C31:L31,6)</f>
        <v>2</v>
      </c>
      <c r="L168" s="139"/>
      <c r="M168" s="15"/>
    </row>
    <row r="169" spans="1:13" ht="13.5" thickBot="1">
      <c r="A169" s="136" t="s">
        <v>27</v>
      </c>
      <c r="B169" s="137" t="str">
        <f>VLOOKUP(33,'2×M'!C29:L29,4)</f>
        <v>山下</v>
      </c>
      <c r="C169" s="138" t="str">
        <f>VLOOKUP(33,'2×M'!C29:L29,5)</f>
        <v>稜人</v>
      </c>
      <c r="D169" s="137">
        <f>VLOOKUP(33,'2×M'!C29:L29,6)</f>
        <v>2</v>
      </c>
      <c r="E169" s="139"/>
      <c r="F169" s="15"/>
      <c r="G169" s="125"/>
      <c r="H169" s="136" t="s">
        <v>27</v>
      </c>
      <c r="I169" s="137" t="str">
        <f>VLOOKUP(36,'2×M'!C32:L32,4)</f>
        <v>福田</v>
      </c>
      <c r="J169" s="138" t="str">
        <f>VLOOKUP(36,'2×M'!C32:L32,5)</f>
        <v>一</v>
      </c>
      <c r="K169" s="137">
        <f>VLOOKUP(36,'2×M'!C32:L32,6)</f>
        <v>3</v>
      </c>
      <c r="L169" s="139"/>
      <c r="M169" s="15"/>
    </row>
    <row r="170" spans="1:13" ht="13.5" thickBot="1">
      <c r="A170" s="125"/>
      <c r="B170" s="125"/>
      <c r="C170" s="126"/>
      <c r="D170" s="125"/>
      <c r="E170" s="126"/>
      <c r="F170" s="126"/>
      <c r="G170" s="125"/>
      <c r="H170" s="125"/>
      <c r="I170" s="125"/>
      <c r="J170" s="126"/>
      <c r="K170" s="125"/>
      <c r="L170" s="126"/>
      <c r="M170" s="126"/>
    </row>
    <row r="171" spans="1:13" ht="13.5" thickBot="1">
      <c r="A171" s="129" t="s">
        <v>16</v>
      </c>
      <c r="B171" s="410" t="str">
        <f>VLOOKUP(37,'2×M'!C33:L33,2)</f>
        <v>浜松北高校B</v>
      </c>
      <c r="C171" s="411"/>
      <c r="D171" s="130" t="s">
        <v>21</v>
      </c>
      <c r="E171" s="155" t="str">
        <f>VLOOKUP(37,'2×M'!C33:L33,9)</f>
        <v>萩原</v>
      </c>
      <c r="F171" s="156" t="str">
        <f>VLOOKUP(37,'2×M'!C33:M33,10)</f>
        <v>康治</v>
      </c>
      <c r="G171" s="125"/>
      <c r="H171" s="129" t="s">
        <v>16</v>
      </c>
      <c r="I171" s="410" t="str">
        <f>VLOOKUP(40,'2×M'!C36:L36,2)</f>
        <v>浜松北高校C</v>
      </c>
      <c r="J171" s="411"/>
      <c r="K171" s="130" t="s">
        <v>21</v>
      </c>
      <c r="L171" s="155" t="str">
        <f>VLOOKUP(40,'2×M'!C36:L36,9)</f>
        <v>露木</v>
      </c>
      <c r="M171" s="156" t="str">
        <f>VLOOKUP(40,'2×M'!C36:M36,10)</f>
        <v>隆</v>
      </c>
    </row>
    <row r="172" spans="1:13">
      <c r="A172" s="140" t="s">
        <v>22</v>
      </c>
      <c r="B172" s="141" t="s">
        <v>17</v>
      </c>
      <c r="C172" s="142" t="s">
        <v>19</v>
      </c>
      <c r="D172" s="141" t="s">
        <v>23</v>
      </c>
      <c r="E172" s="134"/>
      <c r="F172" s="135"/>
      <c r="G172" s="125"/>
      <c r="H172" s="140" t="s">
        <v>22</v>
      </c>
      <c r="I172" s="141" t="s">
        <v>17</v>
      </c>
      <c r="J172" s="142" t="s">
        <v>19</v>
      </c>
      <c r="K172" s="141" t="s">
        <v>23</v>
      </c>
      <c r="L172" s="134"/>
      <c r="M172" s="135"/>
    </row>
    <row r="173" spans="1:13">
      <c r="A173" s="148" t="s">
        <v>24</v>
      </c>
      <c r="B173" s="149" t="str">
        <f>VLOOKUP(37,'2×M'!C33:L33,4)</f>
        <v>鈴木</v>
      </c>
      <c r="C173" s="150" t="str">
        <f>VLOOKUP(37,'2×M'!C33:L33,5)</f>
        <v>隼平</v>
      </c>
      <c r="D173" s="149">
        <f>VLOOKUP(37,'2×M'!C33:L33,6)</f>
        <v>3</v>
      </c>
      <c r="E173" s="139"/>
      <c r="F173" s="15"/>
      <c r="G173" s="125"/>
      <c r="H173" s="148" t="s">
        <v>24</v>
      </c>
      <c r="I173" s="149" t="str">
        <f>VLOOKUP(40,'2×M'!C36:L36,4)</f>
        <v>佐藤</v>
      </c>
      <c r="J173" s="150" t="str">
        <f>VLOOKUP(40,'2×M'!C36:L36,5)</f>
        <v>嘉春</v>
      </c>
      <c r="K173" s="149">
        <f>VLOOKUP(40,'2×M'!C36:L36,6)</f>
        <v>3</v>
      </c>
      <c r="L173" s="139"/>
      <c r="M173" s="15"/>
    </row>
    <row r="174" spans="1:13">
      <c r="A174" s="148" t="s">
        <v>107</v>
      </c>
      <c r="B174" s="149" t="str">
        <f>VLOOKUP(38,'2×M'!C34:L34,4)</f>
        <v>大橋</v>
      </c>
      <c r="C174" s="150" t="str">
        <f>VLOOKUP(38,'2×M'!C34:L34,5)</f>
        <v>賢人</v>
      </c>
      <c r="D174" s="149">
        <f>VLOOKUP(38,'2×M'!C34:L34,6)</f>
        <v>2</v>
      </c>
      <c r="E174" s="139"/>
      <c r="F174" s="15"/>
      <c r="G174" s="126"/>
      <c r="H174" s="148" t="s">
        <v>107</v>
      </c>
      <c r="I174" s="149" t="str">
        <f>VLOOKUP(41,'2×M'!C37:L37,4)</f>
        <v>長谷川</v>
      </c>
      <c r="J174" s="150" t="str">
        <f>VLOOKUP(41,'2×M'!C37:L37,5)</f>
        <v>大智</v>
      </c>
      <c r="K174" s="149">
        <f>VLOOKUP(41,'2×M'!C37:L37,6)</f>
        <v>2</v>
      </c>
      <c r="L174" s="139"/>
      <c r="M174" s="15"/>
    </row>
    <row r="175" spans="1:13" ht="13.5" thickBot="1">
      <c r="A175" s="136" t="s">
        <v>27</v>
      </c>
      <c r="B175" s="137" t="str">
        <f>VLOOKUP(39,'2×M'!C35:L35,4)</f>
        <v>戸川</v>
      </c>
      <c r="C175" s="138" t="str">
        <f>VLOOKUP(39,'2×M'!C35:L35,5)</f>
        <v>駿</v>
      </c>
      <c r="D175" s="137">
        <f>VLOOKUP(39,'2×M'!C35:L35,6)</f>
        <v>2</v>
      </c>
      <c r="E175" s="139"/>
      <c r="F175" s="15"/>
      <c r="G175" s="125"/>
      <c r="H175" s="136" t="s">
        <v>27</v>
      </c>
      <c r="I175" s="137">
        <f>VLOOKUP(43,'2×M'!C38:L38,4)</f>
        <v>0</v>
      </c>
      <c r="J175" s="138">
        <f>VLOOKUP(43,'2×M'!C38:L38,5)</f>
        <v>0</v>
      </c>
      <c r="K175" s="137">
        <f>VLOOKUP(43,'2×M'!C38:L38,6)</f>
        <v>0</v>
      </c>
      <c r="L175" s="139"/>
      <c r="M175" s="15"/>
    </row>
    <row r="176" spans="1:13">
      <c r="A176" s="15"/>
      <c r="B176" s="146"/>
      <c r="C176" s="15"/>
      <c r="D176" s="146"/>
      <c r="E176" s="15"/>
      <c r="F176" s="15"/>
      <c r="G176" s="125"/>
      <c r="H176" s="15"/>
      <c r="I176" s="146"/>
      <c r="J176" s="15"/>
      <c r="K176" s="146"/>
      <c r="L176" s="15"/>
      <c r="M176" s="15"/>
    </row>
    <row r="177" spans="1:13" ht="13.5" hidden="1" thickBot="1">
      <c r="A177" s="129" t="s">
        <v>16</v>
      </c>
      <c r="B177" s="410">
        <f>VLOOKUP(43,'2×M'!C39:L39,2)</f>
        <v>0</v>
      </c>
      <c r="C177" s="411"/>
      <c r="D177" s="130" t="s">
        <v>21</v>
      </c>
      <c r="E177" s="155">
        <f>VLOOKUP(43,'2×M'!C39:L39,9)</f>
        <v>0</v>
      </c>
      <c r="F177" s="156">
        <f>VLOOKUP(43,'2×M'!C39:M39,10)</f>
        <v>0</v>
      </c>
      <c r="G177" s="125"/>
      <c r="H177" s="129" t="s">
        <v>16</v>
      </c>
      <c r="I177" s="410">
        <f>VLOOKUP(46,'2×M'!C42:L42,2)</f>
        <v>0</v>
      </c>
      <c r="J177" s="411"/>
      <c r="K177" s="130" t="s">
        <v>21</v>
      </c>
      <c r="L177" s="155">
        <f>VLOOKUP(46,'2×M'!C42:L42,9)</f>
        <v>0</v>
      </c>
      <c r="M177" s="156">
        <f>VLOOKUP(46,'2×M'!C42:M42,10)</f>
        <v>0</v>
      </c>
    </row>
    <row r="178" spans="1:13" hidden="1">
      <c r="A178" s="140" t="s">
        <v>22</v>
      </c>
      <c r="B178" s="141" t="s">
        <v>17</v>
      </c>
      <c r="C178" s="142" t="s">
        <v>19</v>
      </c>
      <c r="D178" s="141" t="s">
        <v>23</v>
      </c>
      <c r="E178" s="134"/>
      <c r="F178" s="135"/>
      <c r="G178" s="125"/>
      <c r="H178" s="140" t="s">
        <v>22</v>
      </c>
      <c r="I178" s="141" t="s">
        <v>17</v>
      </c>
      <c r="J178" s="142" t="s">
        <v>19</v>
      </c>
      <c r="K178" s="141" t="s">
        <v>23</v>
      </c>
      <c r="L178" s="134"/>
      <c r="M178" s="135"/>
    </row>
    <row r="179" spans="1:13" hidden="1">
      <c r="A179" s="148" t="s">
        <v>24</v>
      </c>
      <c r="B179" s="149">
        <f>VLOOKUP(43,'2×M'!C39:L39,4)</f>
        <v>0</v>
      </c>
      <c r="C179" s="150">
        <f>VLOOKUP(43,'2×M'!C39:L39,5)</f>
        <v>0</v>
      </c>
      <c r="D179" s="149">
        <f>VLOOKUP(43,'2×M'!C39:L39,6)</f>
        <v>0</v>
      </c>
      <c r="E179" s="139"/>
      <c r="F179" s="15"/>
      <c r="G179" s="125"/>
      <c r="H179" s="148" t="s">
        <v>24</v>
      </c>
      <c r="I179" s="149">
        <f>VLOOKUP(46,'2×M'!C42:L42,4)</f>
        <v>0</v>
      </c>
      <c r="J179" s="150">
        <f>VLOOKUP(46,'2×M'!C42:L42,5)</f>
        <v>0</v>
      </c>
      <c r="K179" s="149">
        <f>VLOOKUP(46,'2×M'!C42:L42,6)</f>
        <v>0</v>
      </c>
      <c r="L179" s="139"/>
      <c r="M179" s="15"/>
    </row>
    <row r="180" spans="1:13" hidden="1">
      <c r="A180" s="148" t="s">
        <v>107</v>
      </c>
      <c r="B180" s="149">
        <f>VLOOKUP(44,'2×M'!C40:L40,4)</f>
        <v>0</v>
      </c>
      <c r="C180" s="150">
        <f>VLOOKUP(44,'2×M'!C40:L40,5)</f>
        <v>0</v>
      </c>
      <c r="D180" s="149">
        <f>VLOOKUP(44,'2×M'!C40:L40,6)</f>
        <v>0</v>
      </c>
      <c r="E180" s="139"/>
      <c r="F180" s="15"/>
      <c r="G180" s="126"/>
      <c r="H180" s="148" t="s">
        <v>107</v>
      </c>
      <c r="I180" s="149">
        <f>VLOOKUP(47,'2×M'!C43:L43,4)</f>
        <v>0</v>
      </c>
      <c r="J180" s="150">
        <f>VLOOKUP(47,'2×M'!C43:L43,5)</f>
        <v>0</v>
      </c>
      <c r="K180" s="149">
        <f>VLOOKUP(47,'2×M'!C43:L43,6)</f>
        <v>0</v>
      </c>
      <c r="L180" s="139"/>
      <c r="M180" s="15"/>
    </row>
    <row r="181" spans="1:13" ht="13.5" hidden="1" thickBot="1">
      <c r="A181" s="136" t="s">
        <v>27</v>
      </c>
      <c r="B181" s="137">
        <f>VLOOKUP(45,'2×M'!C41:L41,4)</f>
        <v>0</v>
      </c>
      <c r="C181" s="138">
        <f>VLOOKUP(45,'2×M'!C41:L41,5)</f>
        <v>0</v>
      </c>
      <c r="D181" s="137">
        <f>VLOOKUP(45,'2×M'!C41:L41,6)</f>
        <v>0</v>
      </c>
      <c r="E181" s="139"/>
      <c r="F181" s="15"/>
      <c r="G181" s="125"/>
      <c r="H181" s="136" t="s">
        <v>27</v>
      </c>
      <c r="I181" s="137">
        <f>VLOOKUP(48,'2×M'!C44:L44,4)</f>
        <v>0</v>
      </c>
      <c r="J181" s="138">
        <f>VLOOKUP(48,'2×M'!C44:L44,5)</f>
        <v>0</v>
      </c>
      <c r="K181" s="137">
        <f>VLOOKUP(48,'2×M'!C44:L44,6)</f>
        <v>0</v>
      </c>
      <c r="L181" s="139"/>
      <c r="M181" s="15"/>
    </row>
    <row r="182" spans="1:13" ht="13.5" hidden="1" thickBot="1">
      <c r="A182" s="15"/>
      <c r="B182" s="146"/>
      <c r="C182" s="15"/>
      <c r="D182" s="146"/>
      <c r="E182" s="15"/>
      <c r="F182" s="15"/>
      <c r="G182" s="125"/>
      <c r="H182" s="15"/>
      <c r="I182" s="146"/>
      <c r="J182" s="15"/>
      <c r="K182" s="146"/>
      <c r="L182" s="15"/>
      <c r="M182" s="15"/>
    </row>
    <row r="183" spans="1:13" ht="13.5" hidden="1" thickBot="1">
      <c r="A183" s="129" t="s">
        <v>4</v>
      </c>
      <c r="B183" s="410">
        <f>VLOOKUP(49,'2×M'!C45:L45,2)</f>
        <v>0</v>
      </c>
      <c r="C183" s="411"/>
      <c r="D183" s="130" t="s">
        <v>21</v>
      </c>
      <c r="E183" s="155">
        <f>VLOOKUP(49,'2×M'!C45:L45,9)</f>
        <v>0</v>
      </c>
      <c r="F183" s="156">
        <f>VLOOKUP(49,'2×M'!C45:M45,10)</f>
        <v>0</v>
      </c>
      <c r="G183" s="125"/>
      <c r="H183" s="129" t="s">
        <v>16</v>
      </c>
      <c r="I183" s="410">
        <f>VLOOKUP(52,'2×M'!C48:L48,2)</f>
        <v>0</v>
      </c>
      <c r="J183" s="411"/>
      <c r="K183" s="130" t="s">
        <v>21</v>
      </c>
      <c r="L183" s="155">
        <f>VLOOKUP(52,'2×M'!C48:L48,9)</f>
        <v>0</v>
      </c>
      <c r="M183" s="156">
        <f>VLOOKUP(52,'2×M'!C48:M48,10)</f>
        <v>0</v>
      </c>
    </row>
    <row r="184" spans="1:13" hidden="1">
      <c r="A184" s="140" t="s">
        <v>22</v>
      </c>
      <c r="B184" s="141" t="s">
        <v>17</v>
      </c>
      <c r="C184" s="142" t="s">
        <v>19</v>
      </c>
      <c r="D184" s="141" t="s">
        <v>23</v>
      </c>
      <c r="E184" s="134"/>
      <c r="F184" s="135"/>
      <c r="G184" s="125"/>
      <c r="H184" s="140" t="s">
        <v>22</v>
      </c>
      <c r="I184" s="141" t="s">
        <v>17</v>
      </c>
      <c r="J184" s="142" t="s">
        <v>19</v>
      </c>
      <c r="K184" s="141" t="s">
        <v>23</v>
      </c>
      <c r="L184" s="134"/>
      <c r="M184" s="135"/>
    </row>
    <row r="185" spans="1:13" hidden="1">
      <c r="A185" s="148" t="s">
        <v>24</v>
      </c>
      <c r="B185" s="149">
        <f>VLOOKUP(49,'2×M'!C45:L45,4)</f>
        <v>0</v>
      </c>
      <c r="C185" s="150">
        <f>VLOOKUP(49,'2×M'!C45:L45,5)</f>
        <v>0</v>
      </c>
      <c r="D185" s="149">
        <f>VLOOKUP(49,'2×M'!C45:L45,6)</f>
        <v>0</v>
      </c>
      <c r="E185" s="139"/>
      <c r="F185" s="15"/>
      <c r="G185" s="125"/>
      <c r="H185" s="148" t="s">
        <v>24</v>
      </c>
      <c r="I185" s="149">
        <f>VLOOKUP(52,'2×M'!C48:L48,4)</f>
        <v>0</v>
      </c>
      <c r="J185" s="150">
        <f>VLOOKUP(52,'2×M'!C48:L48,5)</f>
        <v>0</v>
      </c>
      <c r="K185" s="149">
        <f>VLOOKUP(52,'2×M'!C48:L48,6)</f>
        <v>0</v>
      </c>
      <c r="L185" s="139"/>
      <c r="M185" s="15"/>
    </row>
    <row r="186" spans="1:13" hidden="1">
      <c r="A186" s="148" t="s">
        <v>107</v>
      </c>
      <c r="B186" s="149">
        <f>VLOOKUP(50,'2×M'!C46:L46,4)</f>
        <v>0</v>
      </c>
      <c r="C186" s="150">
        <f>VLOOKUP(50,'2×M'!C46:L46,5)</f>
        <v>0</v>
      </c>
      <c r="D186" s="149">
        <f>VLOOKUP(50,'2×M'!C46:L46,6)</f>
        <v>0</v>
      </c>
      <c r="E186" s="139"/>
      <c r="F186" s="15"/>
      <c r="G186" s="126"/>
      <c r="H186" s="148" t="s">
        <v>107</v>
      </c>
      <c r="I186" s="149">
        <f>VLOOKUP(53,'2×M'!C49:L49,4)</f>
        <v>0</v>
      </c>
      <c r="J186" s="150">
        <f>VLOOKUP(53,'2×M'!C49:L49,5)</f>
        <v>0</v>
      </c>
      <c r="K186" s="149">
        <f>VLOOKUP(53,'2×M'!C49:L49,6)</f>
        <v>0</v>
      </c>
      <c r="L186" s="139"/>
      <c r="M186" s="15"/>
    </row>
    <row r="187" spans="1:13" ht="13.5" hidden="1" thickBot="1">
      <c r="A187" s="136" t="s">
        <v>27</v>
      </c>
      <c r="B187" s="137">
        <f>VLOOKUP(51,'2×M'!C47:L47,4)</f>
        <v>0</v>
      </c>
      <c r="C187" s="138">
        <f>VLOOKUP(51,'2×M'!C47:L47,5)</f>
        <v>0</v>
      </c>
      <c r="D187" s="137">
        <f>VLOOKUP(51,'2×M'!C47:L47,6)</f>
        <v>0</v>
      </c>
      <c r="E187" s="139"/>
      <c r="F187" s="15"/>
      <c r="G187" s="125"/>
      <c r="H187" s="136" t="s">
        <v>27</v>
      </c>
      <c r="I187" s="137">
        <f>VLOOKUP(54,'2×M'!C50:L50,4)</f>
        <v>0</v>
      </c>
      <c r="J187" s="138">
        <f>VLOOKUP(54,'2×M'!C50:L50,5)</f>
        <v>0</v>
      </c>
      <c r="K187" s="137">
        <f>VLOOKUP(54,'2×M'!C50:L50,6)</f>
        <v>0</v>
      </c>
      <c r="L187" s="139"/>
      <c r="M187" s="15"/>
    </row>
    <row r="188" spans="1:13" ht="13.5" hidden="1" thickBot="1">
      <c r="A188" s="15"/>
      <c r="B188" s="15"/>
      <c r="C188" s="15"/>
      <c r="D188" s="15"/>
      <c r="E188" s="15"/>
      <c r="F188" s="15"/>
      <c r="G188" s="125"/>
      <c r="H188" s="15"/>
      <c r="I188" s="15"/>
      <c r="J188" s="15"/>
      <c r="K188" s="15"/>
      <c r="L188" s="15"/>
      <c r="M188" s="15"/>
    </row>
    <row r="189" spans="1:13" ht="13.5" hidden="1" thickBot="1">
      <c r="A189" s="129" t="s">
        <v>16</v>
      </c>
      <c r="B189" s="410">
        <f>VLOOKUP(55,'2×M'!C51:L51,2)</f>
        <v>0</v>
      </c>
      <c r="C189" s="411"/>
      <c r="D189" s="130" t="s">
        <v>21</v>
      </c>
      <c r="E189" s="155">
        <f>VLOOKUP(55,'2×M'!C51:L51,9)</f>
        <v>0</v>
      </c>
      <c r="F189" s="156">
        <f>VLOOKUP(55,'2×M'!C51:M51,10)</f>
        <v>0</v>
      </c>
      <c r="G189" s="125"/>
      <c r="H189" s="129" t="s">
        <v>16</v>
      </c>
      <c r="I189" s="410">
        <f>VLOOKUP(58,'2×M'!C54:L54,2)</f>
        <v>0</v>
      </c>
      <c r="J189" s="411"/>
      <c r="K189" s="130" t="s">
        <v>21</v>
      </c>
      <c r="L189" s="155">
        <f>VLOOKUP(58,'2×M'!C54:L54,9)</f>
        <v>0</v>
      </c>
      <c r="M189" s="156">
        <f>VLOOKUP(58,'2×M'!C54:M54,10)</f>
        <v>0</v>
      </c>
    </row>
    <row r="190" spans="1:13" hidden="1">
      <c r="A190" s="140" t="s">
        <v>22</v>
      </c>
      <c r="B190" s="141" t="s">
        <v>17</v>
      </c>
      <c r="C190" s="142" t="s">
        <v>19</v>
      </c>
      <c r="D190" s="141" t="s">
        <v>23</v>
      </c>
      <c r="E190" s="134"/>
      <c r="F190" s="135"/>
      <c r="G190" s="125"/>
      <c r="H190" s="140" t="s">
        <v>22</v>
      </c>
      <c r="I190" s="141" t="s">
        <v>17</v>
      </c>
      <c r="J190" s="142" t="s">
        <v>19</v>
      </c>
      <c r="K190" s="141" t="s">
        <v>23</v>
      </c>
      <c r="L190" s="134"/>
      <c r="M190" s="135"/>
    </row>
    <row r="191" spans="1:13" hidden="1">
      <c r="A191" s="148" t="s">
        <v>24</v>
      </c>
      <c r="B191" s="149">
        <f>VLOOKUP(55,'2×M'!C51:L51,4)</f>
        <v>0</v>
      </c>
      <c r="C191" s="150">
        <f>VLOOKUP(55,'2×M'!C51:L51,5)</f>
        <v>0</v>
      </c>
      <c r="D191" s="149">
        <f>VLOOKUP(55,'2×M'!C51:L51,6)</f>
        <v>0</v>
      </c>
      <c r="E191" s="139"/>
      <c r="F191" s="15"/>
      <c r="G191" s="125"/>
      <c r="H191" s="148" t="s">
        <v>24</v>
      </c>
      <c r="I191" s="149">
        <f>VLOOKUP(58,'2×M'!C54:L54,4)</f>
        <v>0</v>
      </c>
      <c r="J191" s="150">
        <f>VLOOKUP(58,'2×M'!C54:L54,5)</f>
        <v>0</v>
      </c>
      <c r="K191" s="149">
        <f>VLOOKUP(58,'2×M'!C54:L54,6)</f>
        <v>0</v>
      </c>
      <c r="L191" s="139"/>
      <c r="M191" s="15"/>
    </row>
    <row r="192" spans="1:13" hidden="1">
      <c r="A192" s="148" t="s">
        <v>107</v>
      </c>
      <c r="B192" s="149">
        <f>VLOOKUP(56,'2×M'!C52:L52,4)</f>
        <v>0</v>
      </c>
      <c r="C192" s="150">
        <f>VLOOKUP(56,'2×M'!C52:L52,5)</f>
        <v>0</v>
      </c>
      <c r="D192" s="149">
        <f>VLOOKUP(56,'2×M'!C52:L52,6)</f>
        <v>0</v>
      </c>
      <c r="E192" s="139"/>
      <c r="F192" s="15"/>
      <c r="G192" s="126"/>
      <c r="H192" s="148" t="s">
        <v>107</v>
      </c>
      <c r="I192" s="149">
        <f>VLOOKUP(59,'2×M'!C55:L55,4)</f>
        <v>0</v>
      </c>
      <c r="J192" s="150">
        <f>VLOOKUP(59,'2×M'!C55:L55,5)</f>
        <v>0</v>
      </c>
      <c r="K192" s="149">
        <f>VLOOKUP(59,'2×M'!C55:L55,6)</f>
        <v>0</v>
      </c>
      <c r="L192" s="139"/>
      <c r="M192" s="15"/>
    </row>
    <row r="193" spans="1:13" ht="13.5" hidden="1" thickBot="1">
      <c r="A193" s="136" t="s">
        <v>27</v>
      </c>
      <c r="B193" s="137">
        <f>VLOOKUP(57,'2×M'!C53:L53,4)</f>
        <v>0</v>
      </c>
      <c r="C193" s="138">
        <f>VLOOKUP(57,'2×M'!C53:L53,5)</f>
        <v>0</v>
      </c>
      <c r="D193" s="137">
        <f>VLOOKUP(57,'2×M'!C53:L53,6)</f>
        <v>0</v>
      </c>
      <c r="E193" s="139"/>
      <c r="F193" s="15"/>
      <c r="G193" s="125"/>
      <c r="H193" s="136" t="s">
        <v>27</v>
      </c>
      <c r="I193" s="137">
        <f>VLOOKUP(60,'2×M'!C56:L56,4)</f>
        <v>0</v>
      </c>
      <c r="J193" s="138">
        <f>VLOOKUP(60,'2×M'!C56:L56,5)</f>
        <v>0</v>
      </c>
      <c r="K193" s="151">
        <f>VLOOKUP(60,'2×M'!C56:L56,6)</f>
        <v>0</v>
      </c>
      <c r="L193" s="139"/>
      <c r="M193" s="15"/>
    </row>
    <row r="194" spans="1:13" ht="13.5" hidden="1" thickBot="1">
      <c r="A194" s="15"/>
      <c r="B194" s="15"/>
      <c r="C194" s="15"/>
      <c r="D194" s="15"/>
      <c r="E194" s="15"/>
      <c r="F194" s="15"/>
      <c r="G194" s="125"/>
      <c r="H194" s="15"/>
      <c r="I194" s="15"/>
      <c r="J194" s="15"/>
      <c r="K194" s="15"/>
      <c r="L194" s="15"/>
      <c r="M194" s="15"/>
    </row>
    <row r="195" spans="1:13" ht="13.5" hidden="1" thickBot="1">
      <c r="A195" s="129" t="s">
        <v>16</v>
      </c>
      <c r="B195" s="410">
        <f>VLOOKUP(61,'2×M'!C57:L57,2)</f>
        <v>0</v>
      </c>
      <c r="C195" s="411"/>
      <c r="D195" s="130" t="s">
        <v>21</v>
      </c>
      <c r="E195" s="155">
        <f>VLOOKUP(61,'2×M'!C57:L57,9)</f>
        <v>0</v>
      </c>
      <c r="F195" s="156">
        <f>VLOOKUP(61,'2×M'!C57:M57,10)</f>
        <v>0</v>
      </c>
      <c r="G195" s="125"/>
      <c r="H195" s="129" t="s">
        <v>16</v>
      </c>
      <c r="I195" s="410">
        <f>VLOOKUP(64,'2×M'!C60:L60,2)</f>
        <v>0</v>
      </c>
      <c r="J195" s="411"/>
      <c r="K195" s="130" t="s">
        <v>21</v>
      </c>
      <c r="L195" s="155">
        <f>VLOOKUP(64,'2×M'!C60:L60,9)</f>
        <v>0</v>
      </c>
      <c r="M195" s="156">
        <f>VLOOKUP(64,'2×M'!C60:M60,10)</f>
        <v>0</v>
      </c>
    </row>
    <row r="196" spans="1:13" hidden="1">
      <c r="A196" s="140" t="s">
        <v>22</v>
      </c>
      <c r="B196" s="141" t="s">
        <v>17</v>
      </c>
      <c r="C196" s="142" t="s">
        <v>19</v>
      </c>
      <c r="D196" s="141" t="s">
        <v>23</v>
      </c>
      <c r="E196" s="134"/>
      <c r="F196" s="135"/>
      <c r="G196" s="125"/>
      <c r="H196" s="140" t="s">
        <v>22</v>
      </c>
      <c r="I196" s="141" t="s">
        <v>17</v>
      </c>
      <c r="J196" s="142" t="s">
        <v>19</v>
      </c>
      <c r="K196" s="141" t="s">
        <v>23</v>
      </c>
      <c r="L196" s="134"/>
      <c r="M196" s="135"/>
    </row>
    <row r="197" spans="1:13" hidden="1">
      <c r="A197" s="148" t="s">
        <v>24</v>
      </c>
      <c r="B197" s="149">
        <f>VLOOKUP(61,'2×M'!C57:L57,4)</f>
        <v>0</v>
      </c>
      <c r="C197" s="150">
        <f>VLOOKUP(61,'2×M'!C57:L57,5)</f>
        <v>0</v>
      </c>
      <c r="D197" s="149">
        <f>VLOOKUP(61,'2×M'!C57:L57,6)</f>
        <v>0</v>
      </c>
      <c r="E197" s="139"/>
      <c r="F197" s="15"/>
      <c r="G197" s="125"/>
      <c r="H197" s="148" t="s">
        <v>24</v>
      </c>
      <c r="I197" s="149">
        <f>VLOOKUP(64,'2×M'!C60:L60,4)</f>
        <v>0</v>
      </c>
      <c r="J197" s="150">
        <f>VLOOKUP(64,'2×M'!C60:L60,5)</f>
        <v>0</v>
      </c>
      <c r="K197" s="149">
        <f>VLOOKUP(64,'2×M'!C60:L60,6)</f>
        <v>0</v>
      </c>
      <c r="L197" s="139"/>
      <c r="M197" s="15"/>
    </row>
    <row r="198" spans="1:13" hidden="1">
      <c r="A198" s="148" t="s">
        <v>107</v>
      </c>
      <c r="B198" s="149">
        <f>VLOOKUP(62,'2×M'!C58:L58,4)</f>
        <v>0</v>
      </c>
      <c r="C198" s="150">
        <f>VLOOKUP(62,'2×M'!C58:L58,5)</f>
        <v>0</v>
      </c>
      <c r="D198" s="149">
        <f>VLOOKUP(62,'2×M'!C58:L58,6)</f>
        <v>0</v>
      </c>
      <c r="E198" s="139"/>
      <c r="F198" s="15"/>
      <c r="G198" s="126"/>
      <c r="H198" s="148" t="s">
        <v>107</v>
      </c>
      <c r="I198" s="149">
        <f>VLOOKUP(65,'2×M'!C61:L61,4)</f>
        <v>0</v>
      </c>
      <c r="J198" s="150">
        <f>VLOOKUP(65,'2×M'!C61:L61,5)</f>
        <v>0</v>
      </c>
      <c r="K198" s="149">
        <f>VLOOKUP(65,'2×M'!C61:L61,6)</f>
        <v>0</v>
      </c>
      <c r="L198" s="139"/>
      <c r="M198" s="15"/>
    </row>
    <row r="199" spans="1:13" ht="13.5" hidden="1" thickBot="1">
      <c r="A199" s="136" t="s">
        <v>27</v>
      </c>
      <c r="B199" s="137">
        <f>VLOOKUP(63,'2×M'!C59:L59,4)</f>
        <v>0</v>
      </c>
      <c r="C199" s="138">
        <f>VLOOKUP(63,'2×M'!C59:L59,5)</f>
        <v>0</v>
      </c>
      <c r="D199" s="151">
        <f>VLOOKUP(63,'2×M'!C59:L59,6)</f>
        <v>0</v>
      </c>
      <c r="E199" s="139"/>
      <c r="F199" s="15"/>
      <c r="G199" s="125"/>
      <c r="H199" s="136" t="s">
        <v>27</v>
      </c>
      <c r="I199" s="137">
        <f>VLOOKUP(66,'2×M'!C62:L62,4)</f>
        <v>0</v>
      </c>
      <c r="J199" s="138">
        <f>VLOOKUP(66,'2×M'!C62:L62,5)</f>
        <v>0</v>
      </c>
      <c r="K199" s="137">
        <f>VLOOKUP(66,'2×M'!C62:L62,6)</f>
        <v>0</v>
      </c>
      <c r="L199" s="139"/>
      <c r="M199" s="15"/>
    </row>
    <row r="200" spans="1:13" ht="13.5" hidden="1" thickBot="1">
      <c r="A200" s="15"/>
      <c r="B200" s="15"/>
      <c r="C200" s="15"/>
      <c r="D200" s="15"/>
      <c r="E200" s="15"/>
      <c r="F200" s="15"/>
      <c r="G200" s="125"/>
      <c r="H200" s="15"/>
      <c r="I200" s="15"/>
      <c r="J200" s="15"/>
      <c r="K200" s="15"/>
      <c r="L200" s="15"/>
      <c r="M200" s="15"/>
    </row>
    <row r="201" spans="1:13" ht="13.5" hidden="1" thickBot="1">
      <c r="A201" s="129" t="s">
        <v>16</v>
      </c>
      <c r="B201" s="410">
        <f>VLOOKUP(67,'2×M'!C63:L63,2)</f>
        <v>0</v>
      </c>
      <c r="C201" s="411"/>
      <c r="D201" s="130" t="s">
        <v>21</v>
      </c>
      <c r="E201" s="155">
        <f>VLOOKUP(67,'2×M'!C63:L63,9)</f>
        <v>0</v>
      </c>
      <c r="F201" s="156">
        <f>VLOOKUP(67,'2×M'!C63:M63,10)</f>
        <v>0</v>
      </c>
      <c r="G201" s="125"/>
      <c r="H201" s="129" t="s">
        <v>16</v>
      </c>
      <c r="I201" s="410">
        <f>VLOOKUP(70,'2×M'!C66:L66,2)</f>
        <v>0</v>
      </c>
      <c r="J201" s="411"/>
      <c r="K201" s="130" t="s">
        <v>21</v>
      </c>
      <c r="L201" s="155">
        <f>VLOOKUP(70,'2×M'!C66:L66,9)</f>
        <v>0</v>
      </c>
      <c r="M201" s="156">
        <f>VLOOKUP(70,'2×M'!C66:M66,10)</f>
        <v>0</v>
      </c>
    </row>
    <row r="202" spans="1:13" hidden="1">
      <c r="A202" s="140" t="s">
        <v>22</v>
      </c>
      <c r="B202" s="141" t="s">
        <v>17</v>
      </c>
      <c r="C202" s="142" t="s">
        <v>19</v>
      </c>
      <c r="D202" s="141" t="s">
        <v>23</v>
      </c>
      <c r="E202" s="134"/>
      <c r="F202" s="135"/>
      <c r="G202" s="125"/>
      <c r="H202" s="140" t="s">
        <v>22</v>
      </c>
      <c r="I202" s="141" t="s">
        <v>17</v>
      </c>
      <c r="J202" s="142" t="s">
        <v>19</v>
      </c>
      <c r="K202" s="141" t="s">
        <v>23</v>
      </c>
      <c r="L202" s="134"/>
      <c r="M202" s="135"/>
    </row>
    <row r="203" spans="1:13" hidden="1">
      <c r="A203" s="148" t="s">
        <v>24</v>
      </c>
      <c r="B203" s="149">
        <f>VLOOKUP(67,'2×M'!C63:L63,4)</f>
        <v>0</v>
      </c>
      <c r="C203" s="150">
        <f>VLOOKUP(67,'2×M'!C63:L63,5)</f>
        <v>0</v>
      </c>
      <c r="D203" s="149">
        <f>VLOOKUP(67,'2×M'!C63:L63,6)</f>
        <v>0</v>
      </c>
      <c r="E203" s="139"/>
      <c r="F203" s="15"/>
      <c r="G203" s="125"/>
      <c r="H203" s="148" t="s">
        <v>24</v>
      </c>
      <c r="I203" s="149">
        <f>VLOOKUP(70,'2×M'!C66:L66,4)</f>
        <v>0</v>
      </c>
      <c r="J203" s="150">
        <f>VLOOKUP(70,'2×M'!C66:L66,5)</f>
        <v>0</v>
      </c>
      <c r="K203" s="149">
        <f>VLOOKUP(70,'2×M'!C66:L66,6)</f>
        <v>0</v>
      </c>
      <c r="L203" s="139"/>
      <c r="M203" s="15"/>
    </row>
    <row r="204" spans="1:13" hidden="1">
      <c r="A204" s="148" t="s">
        <v>107</v>
      </c>
      <c r="B204" s="149">
        <f>VLOOKUP(68,'2×M'!C64:L64,4)</f>
        <v>0</v>
      </c>
      <c r="C204" s="150">
        <f>VLOOKUP(68,'2×M'!C64:L64,5)</f>
        <v>0</v>
      </c>
      <c r="D204" s="149">
        <f>VLOOKUP(68,'2×M'!C64:L64,6)</f>
        <v>0</v>
      </c>
      <c r="E204" s="139"/>
      <c r="F204" s="15"/>
      <c r="G204" s="126"/>
      <c r="H204" s="148" t="s">
        <v>107</v>
      </c>
      <c r="I204" s="149">
        <f>VLOOKUP(71,'2×M'!C67:L67,4)</f>
        <v>0</v>
      </c>
      <c r="J204" s="150">
        <f>VLOOKUP(71,'2×M'!C67:L67,5)</f>
        <v>0</v>
      </c>
      <c r="K204" s="149">
        <f>VLOOKUP(71,'2×M'!C67:L67,6)</f>
        <v>0</v>
      </c>
      <c r="L204" s="139"/>
      <c r="M204" s="15"/>
    </row>
    <row r="205" spans="1:13" ht="13.5" hidden="1" thickBot="1">
      <c r="A205" s="136" t="s">
        <v>27</v>
      </c>
      <c r="B205" s="137">
        <f>VLOOKUP(69,'2×M'!C65:L65,4)</f>
        <v>0</v>
      </c>
      <c r="C205" s="138">
        <f>VLOOKUP(69,'2×M'!C65:L65,5)</f>
        <v>0</v>
      </c>
      <c r="D205" s="137">
        <f>VLOOKUP(69,'2×M'!C65:L65,6)</f>
        <v>0</v>
      </c>
      <c r="E205" s="139"/>
      <c r="F205" s="15"/>
      <c r="G205" s="125"/>
      <c r="H205" s="136" t="s">
        <v>27</v>
      </c>
      <c r="I205" s="137">
        <f>VLOOKUP(72,'2×M'!C68:L68,4)</f>
        <v>0</v>
      </c>
      <c r="J205" s="138">
        <f>VLOOKUP(72,'2×M'!C68:L68,5)</f>
        <v>0</v>
      </c>
      <c r="K205" s="137">
        <f>VLOOKUP(72,'2×M'!C68:L68,6)</f>
        <v>0</v>
      </c>
      <c r="L205" s="139"/>
      <c r="M205" s="15"/>
    </row>
    <row r="206" spans="1:13" ht="13.5" hidden="1" thickBot="1">
      <c r="A206" s="15"/>
      <c r="B206" s="15"/>
      <c r="C206" s="15"/>
      <c r="D206" s="15"/>
      <c r="E206" s="15"/>
      <c r="F206" s="15"/>
      <c r="G206" s="125"/>
      <c r="H206" s="15"/>
      <c r="I206" s="15"/>
      <c r="J206" s="15"/>
      <c r="K206" s="15"/>
      <c r="L206" s="15"/>
      <c r="M206" s="15"/>
    </row>
    <row r="207" spans="1:13" ht="13.5" hidden="1" thickBot="1">
      <c r="A207" s="129" t="s">
        <v>16</v>
      </c>
      <c r="B207" s="410">
        <f>VLOOKUP(73,'2×M'!C69:L69,2)</f>
        <v>0</v>
      </c>
      <c r="C207" s="411"/>
      <c r="D207" s="130" t="s">
        <v>21</v>
      </c>
      <c r="E207" s="155">
        <f>VLOOKUP(73,'2×M'!C69:L69,9)</f>
        <v>0</v>
      </c>
      <c r="F207" s="156">
        <f>VLOOKUP(73,'2×M'!C69:M69,10)</f>
        <v>0</v>
      </c>
      <c r="G207" s="125"/>
      <c r="H207" s="129" t="s">
        <v>16</v>
      </c>
      <c r="I207" s="410">
        <f>VLOOKUP(76,'2×M'!C72:L72,2)</f>
        <v>0</v>
      </c>
      <c r="J207" s="411"/>
      <c r="K207" s="130" t="s">
        <v>21</v>
      </c>
      <c r="L207" s="155">
        <f>VLOOKUP(76,'2×M'!C72:L72,9)</f>
        <v>0</v>
      </c>
      <c r="M207" s="156">
        <f>VLOOKUP(76,'2×M'!C72:M72,10)</f>
        <v>0</v>
      </c>
    </row>
    <row r="208" spans="1:13" hidden="1">
      <c r="A208" s="140" t="s">
        <v>22</v>
      </c>
      <c r="B208" s="141" t="s">
        <v>17</v>
      </c>
      <c r="C208" s="142" t="s">
        <v>19</v>
      </c>
      <c r="D208" s="141" t="s">
        <v>23</v>
      </c>
      <c r="E208" s="134"/>
      <c r="F208" s="135"/>
      <c r="G208" s="125"/>
      <c r="H208" s="140" t="s">
        <v>22</v>
      </c>
      <c r="I208" s="141" t="s">
        <v>17</v>
      </c>
      <c r="J208" s="142" t="s">
        <v>19</v>
      </c>
      <c r="K208" s="141" t="s">
        <v>23</v>
      </c>
      <c r="L208" s="134"/>
      <c r="M208" s="135"/>
    </row>
    <row r="209" spans="1:13" hidden="1">
      <c r="A209" s="148" t="s">
        <v>24</v>
      </c>
      <c r="B209" s="149">
        <f>VLOOKUP(73,'2×M'!C69:L69,4)</f>
        <v>0</v>
      </c>
      <c r="C209" s="150">
        <f>VLOOKUP(73,'2×M'!C69:L69,5)</f>
        <v>0</v>
      </c>
      <c r="D209" s="149">
        <f>VLOOKUP(73,'2×M'!C69:L69,6)</f>
        <v>0</v>
      </c>
      <c r="E209" s="139"/>
      <c r="F209" s="15"/>
      <c r="G209" s="125"/>
      <c r="H209" s="148" t="s">
        <v>24</v>
      </c>
      <c r="I209" s="149">
        <f>VLOOKUP(76,'2×M'!C72:L72,4)</f>
        <v>0</v>
      </c>
      <c r="J209" s="150">
        <f>VLOOKUP(76,'2×M'!C72:L72,5)</f>
        <v>0</v>
      </c>
      <c r="K209" s="149">
        <f>VLOOKUP(76,'2×M'!C72:L72,6)</f>
        <v>0</v>
      </c>
      <c r="L209" s="139"/>
      <c r="M209" s="15"/>
    </row>
    <row r="210" spans="1:13" hidden="1">
      <c r="A210" s="148" t="s">
        <v>107</v>
      </c>
      <c r="B210" s="149">
        <f>VLOOKUP(74,'2×M'!C70:L70,4)</f>
        <v>0</v>
      </c>
      <c r="C210" s="150">
        <f>VLOOKUP(74,'2×M'!C70:L70,5)</f>
        <v>0</v>
      </c>
      <c r="D210" s="149">
        <f>VLOOKUP(74,'2×M'!C70:L70,6)</f>
        <v>0</v>
      </c>
      <c r="E210" s="139"/>
      <c r="F210" s="15"/>
      <c r="G210" s="126"/>
      <c r="H210" s="148" t="s">
        <v>107</v>
      </c>
      <c r="I210" s="149">
        <f>VLOOKUP(77,'2×M'!C73:L73,4)</f>
        <v>0</v>
      </c>
      <c r="J210" s="150">
        <f>VLOOKUP(77,'2×M'!C73:L73,5)</f>
        <v>0</v>
      </c>
      <c r="K210" s="149">
        <f>VLOOKUP(77,'2×M'!C73:L73,6)</f>
        <v>0</v>
      </c>
      <c r="L210" s="139"/>
      <c r="M210" s="15"/>
    </row>
    <row r="211" spans="1:13" ht="13.5" hidden="1" thickBot="1">
      <c r="A211" s="136" t="s">
        <v>27</v>
      </c>
      <c r="B211" s="137">
        <f>VLOOKUP(75,'2×M'!C71:L71,4)</f>
        <v>0</v>
      </c>
      <c r="C211" s="138">
        <f>VLOOKUP(75,'2×M'!C71:L71,5)</f>
        <v>0</v>
      </c>
      <c r="D211" s="137">
        <f>VLOOKUP(75,'2×M'!C71:L71,6)</f>
        <v>0</v>
      </c>
      <c r="E211" s="139"/>
      <c r="F211" s="15"/>
      <c r="G211" s="125"/>
      <c r="H211" s="136" t="s">
        <v>27</v>
      </c>
      <c r="I211" s="137">
        <f>VLOOKUP(78,'2×M'!C74:L74,4)</f>
        <v>0</v>
      </c>
      <c r="J211" s="138">
        <f>VLOOKUP(78,'2×M'!C74:L74,5)</f>
        <v>0</v>
      </c>
      <c r="K211" s="137">
        <f>VLOOKUP(78,'2×M'!C74:L74,6)</f>
        <v>0</v>
      </c>
      <c r="L211" s="139"/>
      <c r="M211" s="15"/>
    </row>
    <row r="212" spans="1:13" ht="13.5" hidden="1" thickBot="1">
      <c r="A212" s="15"/>
      <c r="B212" s="15"/>
      <c r="C212" s="15"/>
      <c r="D212" s="15"/>
      <c r="E212" s="15"/>
      <c r="F212" s="15"/>
      <c r="G212" s="146"/>
      <c r="H212" s="15"/>
      <c r="I212" s="15"/>
      <c r="J212" s="15"/>
      <c r="K212" s="15"/>
      <c r="L212" s="15"/>
      <c r="M212" s="15"/>
    </row>
    <row r="213" spans="1:13" ht="13.5" hidden="1" thickBot="1">
      <c r="A213" s="129" t="s">
        <v>16</v>
      </c>
      <c r="B213" s="410">
        <f>VLOOKUP(79,'2×M'!C75:L75,2)</f>
        <v>0</v>
      </c>
      <c r="C213" s="411"/>
      <c r="D213" s="130" t="s">
        <v>21</v>
      </c>
      <c r="E213" s="155">
        <f>VLOOKUP(79,'2×M'!C75:L75,9)</f>
        <v>0</v>
      </c>
      <c r="F213" s="156">
        <f>VLOOKUP(79,'2×M'!C75:M75,10)</f>
        <v>0</v>
      </c>
      <c r="G213" s="125"/>
      <c r="H213" s="129" t="s">
        <v>16</v>
      </c>
      <c r="I213" s="410">
        <f>VLOOKUP(82,'2×M'!C78:L78,2)</f>
        <v>0</v>
      </c>
      <c r="J213" s="411"/>
      <c r="K213" s="130" t="s">
        <v>21</v>
      </c>
      <c r="L213" s="155">
        <f>VLOOKUP(82,'2×M'!C78:L78,9)</f>
        <v>0</v>
      </c>
      <c r="M213" s="156">
        <f>VLOOKUP(82,'2×M'!C78:M78,10)</f>
        <v>0</v>
      </c>
    </row>
    <row r="214" spans="1:13" hidden="1">
      <c r="A214" s="140" t="s">
        <v>22</v>
      </c>
      <c r="B214" s="141" t="s">
        <v>17</v>
      </c>
      <c r="C214" s="142" t="s">
        <v>19</v>
      </c>
      <c r="D214" s="141" t="s">
        <v>23</v>
      </c>
      <c r="E214" s="134"/>
      <c r="F214" s="135"/>
      <c r="G214" s="125"/>
      <c r="H214" s="140" t="s">
        <v>22</v>
      </c>
      <c r="I214" s="141" t="s">
        <v>17</v>
      </c>
      <c r="J214" s="142" t="s">
        <v>19</v>
      </c>
      <c r="K214" s="141" t="s">
        <v>23</v>
      </c>
      <c r="L214" s="134"/>
      <c r="M214" s="135"/>
    </row>
    <row r="215" spans="1:13" hidden="1">
      <c r="A215" s="148" t="s">
        <v>24</v>
      </c>
      <c r="B215" s="149">
        <f>VLOOKUP(79,'2×M'!C75:L75,4)</f>
        <v>0</v>
      </c>
      <c r="C215" s="150">
        <f>VLOOKUP(79,'2×M'!C75:L75,5)</f>
        <v>0</v>
      </c>
      <c r="D215" s="149">
        <f>VLOOKUP(79,'2×M'!C75:L75,6)</f>
        <v>0</v>
      </c>
      <c r="E215" s="139"/>
      <c r="F215" s="15"/>
      <c r="G215" s="125"/>
      <c r="H215" s="148" t="s">
        <v>24</v>
      </c>
      <c r="I215" s="149">
        <f>VLOOKUP(82,'2×M'!C78:L78,4)</f>
        <v>0</v>
      </c>
      <c r="J215" s="150">
        <f>VLOOKUP(82,'2×M'!C78:L78,5)</f>
        <v>0</v>
      </c>
      <c r="K215" s="149">
        <f>VLOOKUP(82,'2×M'!C78:L78,6)</f>
        <v>0</v>
      </c>
      <c r="L215" s="139"/>
      <c r="M215" s="15"/>
    </row>
    <row r="216" spans="1:13" hidden="1">
      <c r="A216" s="148" t="s">
        <v>107</v>
      </c>
      <c r="B216" s="149">
        <f>VLOOKUP(80,'2×M'!C76:L76,4)</f>
        <v>0</v>
      </c>
      <c r="C216" s="150">
        <f>VLOOKUP(80,'2×M'!C76:L76,5)</f>
        <v>0</v>
      </c>
      <c r="D216" s="149">
        <f>VLOOKUP(80,'2×M'!C76:L76,6)</f>
        <v>0</v>
      </c>
      <c r="E216" s="139"/>
      <c r="F216" s="15"/>
      <c r="G216" s="126"/>
      <c r="H216" s="148" t="s">
        <v>107</v>
      </c>
      <c r="I216" s="149">
        <f>VLOOKUP(83,'2×M'!C79:L79,4)</f>
        <v>0</v>
      </c>
      <c r="J216" s="150">
        <f>VLOOKUP(83,'2×M'!C79:L79,5)</f>
        <v>0</v>
      </c>
      <c r="K216" s="149">
        <f>VLOOKUP(83,'2×M'!C79:L79,6)</f>
        <v>0</v>
      </c>
      <c r="L216" s="139"/>
      <c r="M216" s="15"/>
    </row>
    <row r="217" spans="1:13" ht="13.5" hidden="1" thickBot="1">
      <c r="A217" s="136" t="s">
        <v>27</v>
      </c>
      <c r="B217" s="137">
        <f>VLOOKUP(81,'2×M'!C77:L77,4)</f>
        <v>0</v>
      </c>
      <c r="C217" s="138">
        <f>VLOOKUP(81,'2×M'!C77:L77,5)</f>
        <v>0</v>
      </c>
      <c r="D217" s="137">
        <f>VLOOKUP(81,'2×M'!C77:L77,6)</f>
        <v>0</v>
      </c>
      <c r="E217" s="139"/>
      <c r="F217" s="15"/>
      <c r="G217" s="125"/>
      <c r="H217" s="136" t="s">
        <v>27</v>
      </c>
      <c r="I217" s="137">
        <f>VLOOKUP(84,'2×M'!C80:L80,4)</f>
        <v>0</v>
      </c>
      <c r="J217" s="138">
        <f>VLOOKUP(84,'2×M'!C80:L80,5)</f>
        <v>0</v>
      </c>
      <c r="K217" s="137">
        <f>VLOOKUP(84,'2×M'!C80:L80,6)</f>
        <v>0</v>
      </c>
      <c r="L217" s="139"/>
      <c r="M217" s="15"/>
    </row>
    <row r="218" spans="1:13" ht="13.5" hidden="1" thickBot="1">
      <c r="A218" s="15"/>
      <c r="B218" s="15"/>
      <c r="C218" s="15"/>
      <c r="D218" s="15"/>
      <c r="E218" s="15"/>
      <c r="F218" s="15"/>
      <c r="G218" s="146"/>
      <c r="H218" s="15"/>
      <c r="I218" s="15"/>
      <c r="J218" s="15"/>
      <c r="K218" s="15"/>
      <c r="L218" s="15"/>
      <c r="M218" s="15"/>
    </row>
    <row r="219" spans="1:13" ht="13.5" hidden="1" thickBot="1">
      <c r="A219" s="129" t="s">
        <v>16</v>
      </c>
      <c r="B219" s="410">
        <f>VLOOKUP(85,'2×M'!C81:L81,2)</f>
        <v>0</v>
      </c>
      <c r="C219" s="411"/>
      <c r="D219" s="130" t="s">
        <v>21</v>
      </c>
      <c r="E219" s="155">
        <f>VLOOKUP(85,'2×M'!C81:L81,9)</f>
        <v>0</v>
      </c>
      <c r="F219" s="156">
        <f>VLOOKUP(85,'2×M'!C81:M81,10)</f>
        <v>0</v>
      </c>
      <c r="G219" s="125"/>
      <c r="H219" s="129" t="s">
        <v>16</v>
      </c>
      <c r="I219" s="410">
        <f>VLOOKUP(88,'2×M'!C84:L84,2)</f>
        <v>0</v>
      </c>
      <c r="J219" s="411"/>
      <c r="K219" s="130" t="s">
        <v>21</v>
      </c>
      <c r="L219" s="155">
        <f>VLOOKUP(88,'2×M'!C84:L84,9)</f>
        <v>0</v>
      </c>
      <c r="M219" s="156">
        <f>VLOOKUP(88,'2×M'!C84:M84,10)</f>
        <v>0</v>
      </c>
    </row>
    <row r="220" spans="1:13" hidden="1">
      <c r="A220" s="140" t="s">
        <v>22</v>
      </c>
      <c r="B220" s="141" t="s">
        <v>17</v>
      </c>
      <c r="C220" s="142" t="s">
        <v>19</v>
      </c>
      <c r="D220" s="141" t="s">
        <v>23</v>
      </c>
      <c r="E220" s="134"/>
      <c r="F220" s="135"/>
      <c r="G220" s="125"/>
      <c r="H220" s="140" t="s">
        <v>22</v>
      </c>
      <c r="I220" s="141" t="s">
        <v>17</v>
      </c>
      <c r="J220" s="142" t="s">
        <v>19</v>
      </c>
      <c r="K220" s="141" t="s">
        <v>23</v>
      </c>
      <c r="L220" s="134"/>
      <c r="M220" s="135"/>
    </row>
    <row r="221" spans="1:13" hidden="1">
      <c r="A221" s="148" t="s">
        <v>24</v>
      </c>
      <c r="B221" s="149">
        <f>VLOOKUP(85,'2×M'!C81:L81,4)</f>
        <v>0</v>
      </c>
      <c r="C221" s="150">
        <f>VLOOKUP(85,'2×M'!C81:L81,5)</f>
        <v>0</v>
      </c>
      <c r="D221" s="149">
        <f>VLOOKUP(85,'2×M'!C81:L81,6)</f>
        <v>0</v>
      </c>
      <c r="E221" s="139"/>
      <c r="F221" s="15"/>
      <c r="G221" s="125"/>
      <c r="H221" s="148" t="s">
        <v>24</v>
      </c>
      <c r="I221" s="149">
        <f>VLOOKUP(88,'2×M'!C84:L84,4)</f>
        <v>0</v>
      </c>
      <c r="J221" s="150">
        <f>VLOOKUP(88,'2×M'!C84:L84,5)</f>
        <v>0</v>
      </c>
      <c r="K221" s="149">
        <f>VLOOKUP(88,'2×M'!C84:L84,6)</f>
        <v>0</v>
      </c>
      <c r="L221" s="139"/>
      <c r="M221" s="15"/>
    </row>
    <row r="222" spans="1:13" hidden="1">
      <c r="A222" s="148" t="s">
        <v>107</v>
      </c>
      <c r="B222" s="149">
        <f>VLOOKUP(86,'2×M'!C82:L82,4)</f>
        <v>0</v>
      </c>
      <c r="C222" s="150">
        <f>VLOOKUP(86,'2×M'!C82:L82,5)</f>
        <v>0</v>
      </c>
      <c r="D222" s="149">
        <f>VLOOKUP(86,'2×M'!C82:L82,6)</f>
        <v>0</v>
      </c>
      <c r="E222" s="139"/>
      <c r="F222" s="15"/>
      <c r="G222" s="126"/>
      <c r="H222" s="148" t="s">
        <v>107</v>
      </c>
      <c r="I222" s="149">
        <f>VLOOKUP(89,'2×M'!C85:L85,4)</f>
        <v>0</v>
      </c>
      <c r="J222" s="150">
        <f>VLOOKUP(89,'2×M'!C85:L85,5)</f>
        <v>0</v>
      </c>
      <c r="K222" s="149">
        <f>VLOOKUP(89,'2×M'!C85:L85,6)</f>
        <v>0</v>
      </c>
      <c r="L222" s="139"/>
      <c r="M222" s="15"/>
    </row>
    <row r="223" spans="1:13" ht="13.5" hidden="1" thickBot="1">
      <c r="A223" s="136" t="s">
        <v>27</v>
      </c>
      <c r="B223" s="137">
        <f>VLOOKUP(87,'2×M'!C83:L83,4)</f>
        <v>0</v>
      </c>
      <c r="C223" s="138">
        <f>VLOOKUP(87,'2×M'!C83:L83,5)</f>
        <v>0</v>
      </c>
      <c r="D223" s="137">
        <f>VLOOKUP(87,'2×M'!C83:L83,6)</f>
        <v>0</v>
      </c>
      <c r="E223" s="139"/>
      <c r="F223" s="15"/>
      <c r="G223" s="125"/>
      <c r="H223" s="136" t="s">
        <v>27</v>
      </c>
      <c r="I223" s="137">
        <f>VLOOKUP(90,'2×M'!C86:L86,4)</f>
        <v>0</v>
      </c>
      <c r="J223" s="138">
        <f>VLOOKUP(90,'2×M'!C86:L86,5)</f>
        <v>0</v>
      </c>
      <c r="K223" s="137">
        <f>VLOOKUP(90,'2×M'!C86:L86,6)</f>
        <v>0</v>
      </c>
      <c r="L223" s="139"/>
      <c r="M223" s="15"/>
    </row>
    <row r="224" spans="1:13" ht="13.5" hidden="1" thickBot="1">
      <c r="A224" s="15"/>
      <c r="B224" s="15"/>
      <c r="C224" s="15"/>
      <c r="D224" s="15"/>
      <c r="E224" s="15"/>
      <c r="F224" s="15"/>
      <c r="G224" s="125"/>
      <c r="H224" s="15"/>
      <c r="I224" s="15"/>
      <c r="J224" s="15"/>
      <c r="K224" s="15"/>
      <c r="L224" s="15"/>
      <c r="M224" s="15"/>
    </row>
    <row r="225" spans="1:13" ht="13.5" hidden="1" thickBot="1">
      <c r="A225" s="129" t="s">
        <v>16</v>
      </c>
      <c r="B225" s="410">
        <f>VLOOKUP(91,'2×M'!C87:L87,2)</f>
        <v>0</v>
      </c>
      <c r="C225" s="411"/>
      <c r="D225" s="130" t="s">
        <v>21</v>
      </c>
      <c r="E225" s="155">
        <f>VLOOKUP(91,'2×M'!C87:L87,9)</f>
        <v>0</v>
      </c>
      <c r="F225" s="156">
        <f>VLOOKUP(91,'2×M'!C87:M87,10)</f>
        <v>0</v>
      </c>
      <c r="G225" s="125"/>
      <c r="H225" s="129" t="s">
        <v>16</v>
      </c>
      <c r="I225" s="410">
        <f>VLOOKUP(94,'2×M'!C90:L90,2)</f>
        <v>0</v>
      </c>
      <c r="J225" s="411"/>
      <c r="K225" s="130" t="s">
        <v>21</v>
      </c>
      <c r="L225" s="155">
        <f>VLOOKUP(94,'2×M'!C90:L90,9)</f>
        <v>0</v>
      </c>
      <c r="M225" s="156">
        <f>VLOOKUP(94,'2×M'!C90:M90,10)</f>
        <v>0</v>
      </c>
    </row>
    <row r="226" spans="1:13" hidden="1">
      <c r="A226" s="140" t="s">
        <v>22</v>
      </c>
      <c r="B226" s="141" t="s">
        <v>17</v>
      </c>
      <c r="C226" s="142" t="s">
        <v>19</v>
      </c>
      <c r="D226" s="141" t="s">
        <v>23</v>
      </c>
      <c r="E226" s="134"/>
      <c r="F226" s="135"/>
      <c r="G226" s="125"/>
      <c r="H226" s="140" t="s">
        <v>22</v>
      </c>
      <c r="I226" s="141" t="s">
        <v>17</v>
      </c>
      <c r="J226" s="142" t="s">
        <v>19</v>
      </c>
      <c r="K226" s="141" t="s">
        <v>23</v>
      </c>
      <c r="L226" s="134"/>
      <c r="M226" s="135"/>
    </row>
    <row r="227" spans="1:13" hidden="1">
      <c r="A227" s="148" t="s">
        <v>24</v>
      </c>
      <c r="B227" s="149">
        <f>VLOOKUP(91,'2×M'!C87:L87,4)</f>
        <v>0</v>
      </c>
      <c r="C227" s="150">
        <f>VLOOKUP(91,'2×M'!C87:L87,5)</f>
        <v>0</v>
      </c>
      <c r="D227" s="149">
        <f>VLOOKUP(91,'2×M'!C87:L87,6)</f>
        <v>0</v>
      </c>
      <c r="E227" s="139"/>
      <c r="F227" s="15"/>
      <c r="G227" s="125"/>
      <c r="H227" s="148" t="s">
        <v>24</v>
      </c>
      <c r="I227" s="149">
        <f>VLOOKUP(94,'2×M'!C90:L90,4)</f>
        <v>0</v>
      </c>
      <c r="J227" s="150">
        <f>VLOOKUP(94,'2×M'!C90:L90,5)</f>
        <v>0</v>
      </c>
      <c r="K227" s="149">
        <f>VLOOKUP(94,'2×M'!C90:L90,6)</f>
        <v>0</v>
      </c>
      <c r="L227" s="139"/>
      <c r="M227" s="15"/>
    </row>
    <row r="228" spans="1:13" hidden="1">
      <c r="A228" s="148" t="s">
        <v>107</v>
      </c>
      <c r="B228" s="149">
        <f>VLOOKUP(92,'2×M'!C88:L88,4)</f>
        <v>0</v>
      </c>
      <c r="C228" s="150">
        <f>VLOOKUP(92,'2×M'!C88:L88,5)</f>
        <v>0</v>
      </c>
      <c r="D228" s="149">
        <f>VLOOKUP(92,'2×M'!C88:L88,6)</f>
        <v>0</v>
      </c>
      <c r="E228" s="139"/>
      <c r="F228" s="15"/>
      <c r="G228" s="126"/>
      <c r="H228" s="148" t="s">
        <v>107</v>
      </c>
      <c r="I228" s="149">
        <f>VLOOKUP(95,'2×M'!C91:L91,4)</f>
        <v>0</v>
      </c>
      <c r="J228" s="150">
        <f>VLOOKUP(95,'2×M'!C91:L91,5)</f>
        <v>0</v>
      </c>
      <c r="K228" s="149">
        <f>VLOOKUP(95,'2×M'!C91:L91,6)</f>
        <v>0</v>
      </c>
      <c r="L228" s="139"/>
      <c r="M228" s="15"/>
    </row>
    <row r="229" spans="1:13" ht="13.5" hidden="1" thickBot="1">
      <c r="A229" s="136" t="s">
        <v>27</v>
      </c>
      <c r="B229" s="137">
        <f>VLOOKUP(93,'2×M'!C89:L89,4)</f>
        <v>0</v>
      </c>
      <c r="C229" s="138">
        <f>VLOOKUP(93,'2×M'!C89:L89,5)</f>
        <v>0</v>
      </c>
      <c r="D229" s="137">
        <f>VLOOKUP(93,'2×M'!C89:L89,6)</f>
        <v>0</v>
      </c>
      <c r="E229" s="139"/>
      <c r="F229" s="15"/>
      <c r="G229" s="125"/>
      <c r="H229" s="136" t="s">
        <v>27</v>
      </c>
      <c r="I229" s="137">
        <f>VLOOKUP(96,'2×M'!C92:L92,4)</f>
        <v>0</v>
      </c>
      <c r="J229" s="138">
        <f>VLOOKUP(96,'2×M'!C92:L92,5)</f>
        <v>0</v>
      </c>
      <c r="K229" s="137">
        <f>VLOOKUP(96,'2×M'!C92:L92,6)</f>
        <v>0</v>
      </c>
      <c r="L229" s="139"/>
      <c r="M229" s="15"/>
    </row>
    <row r="230" spans="1:13" ht="13.5" hidden="1" thickBot="1">
      <c r="A230" s="15"/>
      <c r="B230" s="15"/>
      <c r="C230" s="15"/>
      <c r="D230" s="15"/>
      <c r="E230" s="15"/>
      <c r="F230" s="15"/>
      <c r="G230" s="125"/>
      <c r="H230" s="15"/>
      <c r="I230" s="15"/>
      <c r="J230" s="15"/>
      <c r="K230" s="15"/>
      <c r="L230" s="15"/>
      <c r="M230" s="15"/>
    </row>
    <row r="231" spans="1:13" ht="13.5" hidden="1" thickBot="1">
      <c r="A231" s="129" t="s">
        <v>16</v>
      </c>
      <c r="B231" s="410">
        <f>VLOOKUP(97,'2×M'!C93:L93,2)</f>
        <v>0</v>
      </c>
      <c r="C231" s="411"/>
      <c r="D231" s="130" t="s">
        <v>21</v>
      </c>
      <c r="E231" s="155">
        <f>VLOOKUP(97,'2×M'!C93:L93,9)</f>
        <v>0</v>
      </c>
      <c r="F231" s="156">
        <f>VLOOKUP(97,'2×M'!C93:M93,10)</f>
        <v>0</v>
      </c>
      <c r="G231" s="125"/>
      <c r="H231" s="129" t="s">
        <v>16</v>
      </c>
      <c r="I231" s="410"/>
      <c r="J231" s="411"/>
      <c r="K231" s="130" t="s">
        <v>21</v>
      </c>
      <c r="L231" s="155"/>
      <c r="M231" s="156"/>
    </row>
    <row r="232" spans="1:13" hidden="1">
      <c r="A232" s="140" t="s">
        <v>22</v>
      </c>
      <c r="B232" s="141" t="s">
        <v>17</v>
      </c>
      <c r="C232" s="142" t="s">
        <v>19</v>
      </c>
      <c r="D232" s="141" t="s">
        <v>23</v>
      </c>
      <c r="E232" s="134"/>
      <c r="F232" s="135"/>
      <c r="G232" s="125"/>
      <c r="H232" s="140" t="s">
        <v>22</v>
      </c>
      <c r="I232" s="141" t="s">
        <v>17</v>
      </c>
      <c r="J232" s="142" t="s">
        <v>19</v>
      </c>
      <c r="K232" s="141" t="s">
        <v>23</v>
      </c>
      <c r="L232" s="134"/>
      <c r="M232" s="135"/>
    </row>
    <row r="233" spans="1:13" hidden="1">
      <c r="A233" s="148" t="s">
        <v>24</v>
      </c>
      <c r="B233" s="149">
        <f>VLOOKUP(97,'2×M'!C93:L93,4)</f>
        <v>0</v>
      </c>
      <c r="C233" s="150">
        <f>VLOOKUP(97,'2×M'!C93:L93,5)</f>
        <v>0</v>
      </c>
      <c r="D233" s="149">
        <f>VLOOKUP(97,'2×M'!C93:L93,6)</f>
        <v>0</v>
      </c>
      <c r="E233" s="139"/>
      <c r="F233" s="15"/>
      <c r="G233" s="125"/>
      <c r="H233" s="148" t="s">
        <v>24</v>
      </c>
      <c r="I233" s="149"/>
      <c r="J233" s="150"/>
      <c r="K233" s="149"/>
      <c r="L233" s="139"/>
      <c r="M233" s="15"/>
    </row>
    <row r="234" spans="1:13" hidden="1">
      <c r="A234" s="148" t="s">
        <v>107</v>
      </c>
      <c r="B234" s="149">
        <f>VLOOKUP(98,'2×M'!C94:L94,4)</f>
        <v>0</v>
      </c>
      <c r="C234" s="150">
        <f>VLOOKUP(98,'2×M'!C94:L94,5)</f>
        <v>0</v>
      </c>
      <c r="D234" s="149">
        <f>VLOOKUP(98,'2×M'!C94:L94,6)</f>
        <v>0</v>
      </c>
      <c r="E234" s="139"/>
      <c r="F234" s="15"/>
      <c r="G234" s="126"/>
      <c r="H234" s="148" t="s">
        <v>107</v>
      </c>
      <c r="I234" s="149"/>
      <c r="J234" s="150"/>
      <c r="K234" s="149"/>
      <c r="L234" s="139"/>
      <c r="M234" s="15"/>
    </row>
    <row r="235" spans="1:13" ht="13.5" hidden="1" thickBot="1">
      <c r="A235" s="136" t="s">
        <v>27</v>
      </c>
      <c r="B235" s="137">
        <f>VLOOKUP(99,'2×M'!C95:L95,4)</f>
        <v>0</v>
      </c>
      <c r="C235" s="138">
        <f>VLOOKUP(99,'2×M'!C95:L95,5)</f>
        <v>0</v>
      </c>
      <c r="D235" s="137">
        <f>VLOOKUP(99,'2×M'!C95:L95,6)</f>
        <v>0</v>
      </c>
      <c r="E235" s="139"/>
      <c r="F235" s="15"/>
      <c r="G235" s="125"/>
      <c r="H235" s="136" t="s">
        <v>27</v>
      </c>
      <c r="I235" s="137"/>
      <c r="J235" s="138"/>
      <c r="K235" s="137"/>
      <c r="L235" s="139"/>
      <c r="M235" s="15"/>
    </row>
    <row r="236" spans="1:13" hidden="1">
      <c r="A236" s="15"/>
      <c r="B236" s="15"/>
      <c r="C236" s="15"/>
      <c r="D236" s="15"/>
      <c r="E236" s="15"/>
      <c r="F236" s="15"/>
      <c r="G236" s="125"/>
      <c r="H236" s="15"/>
      <c r="I236" s="15"/>
      <c r="J236" s="15"/>
      <c r="K236" s="15"/>
      <c r="L236" s="15"/>
      <c r="M236" s="15"/>
    </row>
    <row r="237" spans="1:13" hidden="1">
      <c r="A237" s="15"/>
      <c r="B237" s="15"/>
      <c r="C237" s="15"/>
      <c r="D237" s="15"/>
      <c r="E237" s="15"/>
      <c r="F237" s="15"/>
      <c r="G237" s="125"/>
      <c r="H237" s="15"/>
      <c r="I237" s="15"/>
      <c r="J237" s="15"/>
      <c r="K237" s="15"/>
      <c r="L237" s="15"/>
      <c r="M237" s="15"/>
    </row>
    <row r="238" spans="1:13" ht="16.5">
      <c r="A238" s="127" t="s">
        <v>80</v>
      </c>
      <c r="B238" s="127"/>
      <c r="C238" s="128"/>
      <c r="D238" s="15"/>
      <c r="E238" s="15"/>
      <c r="F238" s="128"/>
      <c r="G238" s="127"/>
      <c r="H238" s="127"/>
      <c r="I238" s="127"/>
      <c r="J238" s="128"/>
      <c r="K238" s="127"/>
      <c r="L238" s="128"/>
      <c r="M238" s="128"/>
    </row>
    <row r="239" spans="1:13" ht="13.5" thickBot="1">
      <c r="A239" s="125"/>
      <c r="B239" s="125"/>
      <c r="C239" s="126"/>
      <c r="D239" s="125"/>
      <c r="E239" s="126"/>
      <c r="F239" s="126"/>
      <c r="G239" s="125"/>
      <c r="H239" s="125"/>
      <c r="I239" s="125"/>
      <c r="J239" s="126"/>
      <c r="K239" s="125"/>
      <c r="L239" s="126"/>
      <c r="M239" s="126"/>
    </row>
    <row r="240" spans="1:13" ht="13.5" thickBot="1">
      <c r="A240" s="129" t="s">
        <v>4</v>
      </c>
      <c r="B240" s="410" t="str">
        <f>VLOOKUP(1,'２×Ｗ'!C3:L3,2)</f>
        <v>浜松西高校</v>
      </c>
      <c r="C240" s="411"/>
      <c r="D240" s="130" t="s">
        <v>46</v>
      </c>
      <c r="E240" s="155" t="str">
        <f>VLOOKUP(1,'２×Ｗ'!C3:L3,9)</f>
        <v>上西</v>
      </c>
      <c r="F240" s="156" t="str">
        <f>VLOOKUP(1,'２×Ｗ'!C3:M3,10)</f>
        <v>智紀</v>
      </c>
      <c r="G240" s="125"/>
      <c r="H240" s="129" t="s">
        <v>4</v>
      </c>
      <c r="I240" s="410" t="str">
        <f>VLOOKUP(4,'２×Ｗ'!C6:L6,2)</f>
        <v>湖西高校</v>
      </c>
      <c r="J240" s="411"/>
      <c r="K240" s="130" t="s">
        <v>21</v>
      </c>
      <c r="L240" s="155" t="str">
        <f>VLOOKUP(4,'２×Ｗ'!C6:L6,9)</f>
        <v>鈴木</v>
      </c>
      <c r="M240" s="156" t="str">
        <f>VLOOKUP(4,'２×Ｗ'!C6:M6,10)</f>
        <v>研也</v>
      </c>
    </row>
    <row r="241" spans="1:13">
      <c r="A241" s="140" t="s">
        <v>22</v>
      </c>
      <c r="B241" s="141" t="s">
        <v>17</v>
      </c>
      <c r="C241" s="142" t="s">
        <v>19</v>
      </c>
      <c r="D241" s="141" t="s">
        <v>23</v>
      </c>
      <c r="E241" s="134"/>
      <c r="F241" s="135"/>
      <c r="G241" s="125"/>
      <c r="H241" s="140" t="s">
        <v>22</v>
      </c>
      <c r="I241" s="141" t="s">
        <v>17</v>
      </c>
      <c r="J241" s="142" t="s">
        <v>19</v>
      </c>
      <c r="K241" s="141" t="s">
        <v>23</v>
      </c>
      <c r="L241" s="134"/>
      <c r="M241" s="135"/>
    </row>
    <row r="242" spans="1:13">
      <c r="A242" s="148" t="s">
        <v>8</v>
      </c>
      <c r="B242" s="149" t="str">
        <f>VLOOKUP(1,'２×Ｗ'!C3:L3,4)</f>
        <v>阿部</v>
      </c>
      <c r="C242" s="150" t="str">
        <f>VLOOKUP(1,'２×Ｗ'!C3:L3,5)</f>
        <v>真奈</v>
      </c>
      <c r="D242" s="149">
        <f>VLOOKUP(1,'２×Ｗ'!C3:L3,6)</f>
        <v>3</v>
      </c>
      <c r="E242" s="139"/>
      <c r="F242" s="15"/>
      <c r="G242" s="125"/>
      <c r="H242" s="148" t="s">
        <v>24</v>
      </c>
      <c r="I242" s="149" t="str">
        <f>VLOOKUP(4,'２×Ｗ'!C6:L6,4)</f>
        <v>九里</v>
      </c>
      <c r="J242" s="150" t="str">
        <f>VLOOKUP(4,'２×Ｗ'!C6:L6,5)</f>
        <v>美羽</v>
      </c>
      <c r="K242" s="149">
        <f>VLOOKUP(4,'２×Ｗ'!C6:L6,6)</f>
        <v>2</v>
      </c>
      <c r="L242" s="139"/>
      <c r="M242" s="15"/>
    </row>
    <row r="243" spans="1:13">
      <c r="A243" s="148" t="s">
        <v>107</v>
      </c>
      <c r="B243" s="149" t="str">
        <f>VLOOKUP(2,'２×Ｗ'!C4:L4,4)</f>
        <v>松島</v>
      </c>
      <c r="C243" s="150" t="str">
        <f>VLOOKUP(2,'２×Ｗ'!C4:L4,5)</f>
        <v>花穂</v>
      </c>
      <c r="D243" s="149">
        <f>VLOOKUP(2,'２×Ｗ'!C4:L4,6)</f>
        <v>3</v>
      </c>
      <c r="E243" s="139"/>
      <c r="F243" s="15"/>
      <c r="G243" s="126"/>
      <c r="H243" s="148" t="s">
        <v>107</v>
      </c>
      <c r="I243" s="149" t="str">
        <f>VLOOKUP(5,'２×Ｗ'!C7:L7,4)</f>
        <v>土方</v>
      </c>
      <c r="J243" s="150" t="str">
        <f>VLOOKUP(5,'２×Ｗ'!C7:L7,5)</f>
        <v>結貴</v>
      </c>
      <c r="K243" s="149">
        <f>VLOOKUP(5,'２×Ｗ'!C7:L7,6)</f>
        <v>2</v>
      </c>
      <c r="L243" s="139"/>
      <c r="M243" s="15"/>
    </row>
    <row r="244" spans="1:13" ht="13.5" thickBot="1">
      <c r="A244" s="136" t="s">
        <v>33</v>
      </c>
      <c r="B244" s="137" t="str">
        <f>VLOOKUP(3,'２×Ｗ'!C5:L5,4)</f>
        <v>小笠原</v>
      </c>
      <c r="C244" s="138" t="str">
        <f>VLOOKUP(3,'２×Ｗ'!C5:L5,5)</f>
        <v>実玖</v>
      </c>
      <c r="D244" s="137">
        <f>VLOOKUP(3,'２×Ｗ'!C5:L5,6)</f>
        <v>2</v>
      </c>
      <c r="E244" s="139"/>
      <c r="F244" s="15"/>
      <c r="G244" s="125"/>
      <c r="H244" s="136" t="s">
        <v>27</v>
      </c>
      <c r="I244" s="137">
        <f>VLOOKUP(6,'２×Ｗ'!C8:L8,4)</f>
        <v>0</v>
      </c>
      <c r="J244" s="138">
        <f>VLOOKUP(6,'２×Ｗ'!C8:L8,5)</f>
        <v>0</v>
      </c>
      <c r="K244" s="137">
        <f>VLOOKUP(6,'２×Ｗ'!C8:L8,6)</f>
        <v>0</v>
      </c>
      <c r="L244" s="139"/>
      <c r="M244" s="15"/>
    </row>
    <row r="245" spans="1:13" ht="13.5" thickBot="1">
      <c r="A245" s="125"/>
      <c r="B245" s="125"/>
      <c r="C245" s="126"/>
      <c r="D245" s="125"/>
      <c r="E245" s="126"/>
      <c r="F245" s="126"/>
      <c r="G245" s="125"/>
      <c r="H245" s="125"/>
      <c r="I245" s="125"/>
      <c r="J245" s="126"/>
      <c r="K245" s="125"/>
      <c r="L245" s="126"/>
      <c r="M245" s="126"/>
    </row>
    <row r="246" spans="1:13" ht="13.5" thickBot="1">
      <c r="A246" s="129" t="s">
        <v>16</v>
      </c>
      <c r="B246" s="410" t="str">
        <f>VLOOKUP(7,'２×Ｗ'!C9:L9,2)</f>
        <v>沼津東高校A</v>
      </c>
      <c r="C246" s="411"/>
      <c r="D246" s="130" t="s">
        <v>21</v>
      </c>
      <c r="E246" s="155" t="str">
        <f>VLOOKUP(7,'２×Ｗ'!C9:L9,9)</f>
        <v>鈴木</v>
      </c>
      <c r="F246" s="156" t="str">
        <f>VLOOKUP(7,'２×Ｗ'!C9:M9,10)</f>
        <v>亮次</v>
      </c>
      <c r="G246" s="125"/>
      <c r="H246" s="129" t="s">
        <v>16</v>
      </c>
      <c r="I246" s="410" t="str">
        <f>VLOOKUP(10,'２×Ｗ'!C12:L12,2)</f>
        <v>沼津東高校B</v>
      </c>
      <c r="J246" s="411"/>
      <c r="K246" s="130" t="s">
        <v>21</v>
      </c>
      <c r="L246" s="155" t="str">
        <f>VLOOKUP(10,'２×Ｗ'!C12:L12,9)</f>
        <v>杉本</v>
      </c>
      <c r="M246" s="156" t="str">
        <f>VLOOKUP(10,'２×Ｗ'!C12:M12,10)</f>
        <v>由佳子</v>
      </c>
    </row>
    <row r="247" spans="1:13">
      <c r="A247" s="140" t="s">
        <v>22</v>
      </c>
      <c r="B247" s="141" t="s">
        <v>17</v>
      </c>
      <c r="C247" s="142" t="s">
        <v>19</v>
      </c>
      <c r="D247" s="141" t="s">
        <v>23</v>
      </c>
      <c r="E247" s="134"/>
      <c r="F247" s="135"/>
      <c r="G247" s="125"/>
      <c r="H247" s="140" t="s">
        <v>22</v>
      </c>
      <c r="I247" s="141" t="s">
        <v>17</v>
      </c>
      <c r="J247" s="142" t="s">
        <v>19</v>
      </c>
      <c r="K247" s="141" t="s">
        <v>23</v>
      </c>
      <c r="L247" s="134"/>
      <c r="M247" s="135"/>
    </row>
    <row r="248" spans="1:13">
      <c r="A248" s="148" t="s">
        <v>24</v>
      </c>
      <c r="B248" s="149" t="str">
        <f>VLOOKUP(7,'２×Ｗ'!C9:L9,4)</f>
        <v>向井</v>
      </c>
      <c r="C248" s="150" t="str">
        <f>VLOOKUP(7,'２×Ｗ'!C9:L9,5)</f>
        <v>彩莉</v>
      </c>
      <c r="D248" s="149">
        <f>VLOOKUP(7,'２×Ｗ'!C9:L9,6)</f>
        <v>3</v>
      </c>
      <c r="E248" s="139"/>
      <c r="F248" s="15"/>
      <c r="G248" s="125"/>
      <c r="H248" s="148" t="s">
        <v>24</v>
      </c>
      <c r="I248" s="149" t="str">
        <f>VLOOKUP(10,'２×Ｗ'!C12:L12,4)</f>
        <v>藤井</v>
      </c>
      <c r="J248" s="150" t="str">
        <f>VLOOKUP(10,'２×Ｗ'!C12:L12,5)</f>
        <v>凜</v>
      </c>
      <c r="K248" s="149">
        <f>VLOOKUP(10,'２×Ｗ'!C12:L12,6)</f>
        <v>2</v>
      </c>
      <c r="L248" s="139"/>
      <c r="M248" s="15"/>
    </row>
    <row r="249" spans="1:13">
      <c r="A249" s="148" t="s">
        <v>107</v>
      </c>
      <c r="B249" s="149" t="str">
        <f>VLOOKUP(8,'２×Ｗ'!C10:L10,4)</f>
        <v>秋山</v>
      </c>
      <c r="C249" s="150" t="str">
        <f>VLOOKUP(8,'２×Ｗ'!C10:L10,5)</f>
        <v>静那</v>
      </c>
      <c r="D249" s="149">
        <f>VLOOKUP(8,'２×Ｗ'!C10:L10,6)</f>
        <v>2</v>
      </c>
      <c r="E249" s="139"/>
      <c r="F249" s="15"/>
      <c r="G249" s="126"/>
      <c r="H249" s="148" t="s">
        <v>107</v>
      </c>
      <c r="I249" s="149" t="str">
        <f>VLOOKUP(11,'２×Ｗ'!C13:L13,4)</f>
        <v>河﨑</v>
      </c>
      <c r="J249" s="150" t="str">
        <f>VLOOKUP(11,'２×Ｗ'!C13:L13,5)</f>
        <v>楓乃</v>
      </c>
      <c r="K249" s="149">
        <f>VLOOKUP(11,'２×Ｗ'!C13:L13,6)</f>
        <v>2</v>
      </c>
      <c r="L249" s="139"/>
      <c r="M249" s="15"/>
    </row>
    <row r="250" spans="1:13" ht="13.5" thickBot="1">
      <c r="A250" s="136" t="s">
        <v>27</v>
      </c>
      <c r="B250" s="137" t="str">
        <f>VLOOKUP(9,'２×Ｗ'!C11:L11,4)</f>
        <v>長倉</v>
      </c>
      <c r="C250" s="138" t="str">
        <f>VLOOKUP(9,'２×Ｗ'!C11:L11,5)</f>
        <v>理子</v>
      </c>
      <c r="D250" s="137">
        <f>VLOOKUP(9,'２×Ｗ'!C11:L11,6)</f>
        <v>2</v>
      </c>
      <c r="E250" s="139"/>
      <c r="F250" s="15"/>
      <c r="G250" s="125"/>
      <c r="H250" s="136" t="s">
        <v>27</v>
      </c>
      <c r="I250" s="137">
        <f>VLOOKUP(12,'２×Ｗ'!C14:L14,4)</f>
        <v>0</v>
      </c>
      <c r="J250" s="138">
        <f>VLOOKUP(12,'２×Ｗ'!C14:L14,5)</f>
        <v>0</v>
      </c>
      <c r="K250" s="137">
        <f>VLOOKUP(12,'２×Ｗ'!C14:L14,6)</f>
        <v>0</v>
      </c>
      <c r="L250" s="139"/>
      <c r="M250" s="15"/>
    </row>
    <row r="251" spans="1:13" ht="13.5" thickBot="1">
      <c r="A251" s="125"/>
      <c r="B251" s="125"/>
      <c r="C251" s="126"/>
      <c r="D251" s="125"/>
      <c r="E251" s="126"/>
      <c r="F251" s="126"/>
      <c r="G251" s="125"/>
      <c r="H251" s="125"/>
      <c r="I251" s="125"/>
      <c r="J251" s="126"/>
      <c r="K251" s="125"/>
      <c r="L251" s="126"/>
      <c r="M251" s="126"/>
    </row>
    <row r="252" spans="1:13" ht="13.5" thickBot="1">
      <c r="A252" s="129" t="s">
        <v>16</v>
      </c>
      <c r="B252" s="410" t="str">
        <f>VLOOKUP(13,'２×Ｗ'!C15:L15,2)</f>
        <v>浜松湖南高校A</v>
      </c>
      <c r="C252" s="411"/>
      <c r="D252" s="130" t="s">
        <v>21</v>
      </c>
      <c r="E252" s="155" t="str">
        <f>VLOOKUP(13,'２×Ｗ'!C15:L15,9)</f>
        <v>鈴木</v>
      </c>
      <c r="F252" s="156" t="str">
        <f>VLOOKUP(13,'２×Ｗ'!C15:M15,10)</f>
        <v>基弘</v>
      </c>
      <c r="G252" s="125"/>
      <c r="H252" s="129" t="s">
        <v>16</v>
      </c>
      <c r="I252" s="410" t="str">
        <f>VLOOKUP(16,'２×Ｗ'!C18:L18,2)</f>
        <v>浜松湖南高校B</v>
      </c>
      <c r="J252" s="411"/>
      <c r="K252" s="130" t="s">
        <v>21</v>
      </c>
      <c r="L252" s="155" t="str">
        <f>VLOOKUP(16,'２×Ｗ'!C18:L18,9)</f>
        <v>鈴木</v>
      </c>
      <c r="M252" s="156" t="str">
        <f>VLOOKUP(16,'２×Ｗ'!C18:M18,10)</f>
        <v>基弘</v>
      </c>
    </row>
    <row r="253" spans="1:13">
      <c r="A253" s="140" t="s">
        <v>22</v>
      </c>
      <c r="B253" s="141" t="s">
        <v>17</v>
      </c>
      <c r="C253" s="142" t="s">
        <v>19</v>
      </c>
      <c r="D253" s="141" t="s">
        <v>23</v>
      </c>
      <c r="E253" s="134"/>
      <c r="F253" s="135"/>
      <c r="G253" s="125"/>
      <c r="H253" s="140" t="s">
        <v>22</v>
      </c>
      <c r="I253" s="141" t="s">
        <v>17</v>
      </c>
      <c r="J253" s="142" t="s">
        <v>19</v>
      </c>
      <c r="K253" s="141" t="s">
        <v>23</v>
      </c>
      <c r="L253" s="134"/>
      <c r="M253" s="135"/>
    </row>
    <row r="254" spans="1:13">
      <c r="A254" s="148" t="s">
        <v>24</v>
      </c>
      <c r="B254" s="149" t="str">
        <f>VLOOKUP(13,'２×Ｗ'!C15:L15,4)</f>
        <v>濱田</v>
      </c>
      <c r="C254" s="150" t="str">
        <f>VLOOKUP(13,'２×Ｗ'!C15:L15,5)</f>
        <v>紫希</v>
      </c>
      <c r="D254" s="149">
        <f>VLOOKUP(13,'２×Ｗ'!C15:L15,6)</f>
        <v>2</v>
      </c>
      <c r="E254" s="139"/>
      <c r="F254" s="15"/>
      <c r="G254" s="125"/>
      <c r="H254" s="148" t="s">
        <v>24</v>
      </c>
      <c r="I254" s="149" t="str">
        <f>VLOOKUP(16,'２×Ｗ'!C18:L18,4)</f>
        <v>小野</v>
      </c>
      <c r="J254" s="150" t="str">
        <f>VLOOKUP(16,'２×Ｗ'!C18:L18,5)</f>
        <v>志穂子</v>
      </c>
      <c r="K254" s="149">
        <f>VLOOKUP(16,'２×Ｗ'!C18:L18,6)</f>
        <v>2</v>
      </c>
      <c r="L254" s="139"/>
      <c r="M254" s="15"/>
    </row>
    <row r="255" spans="1:13">
      <c r="A255" s="148" t="s">
        <v>107</v>
      </c>
      <c r="B255" s="149" t="str">
        <f>VLOOKUP(14,'２×Ｗ'!C16:L16,4)</f>
        <v>三宅</v>
      </c>
      <c r="C255" s="150" t="str">
        <f>VLOOKUP(14,'２×Ｗ'!C16:L16,5)</f>
        <v>由珠</v>
      </c>
      <c r="D255" s="149">
        <f>VLOOKUP(14,'２×Ｗ'!C16:L16,6)</f>
        <v>3</v>
      </c>
      <c r="E255" s="139"/>
      <c r="F255" s="15"/>
      <c r="G255" s="126"/>
      <c r="H255" s="148" t="s">
        <v>107</v>
      </c>
      <c r="I255" s="149" t="str">
        <f>VLOOKUP(17,'２×Ｗ'!C19:L19,4)</f>
        <v>倉田</v>
      </c>
      <c r="J255" s="150" t="str">
        <f>VLOOKUP(17,'２×Ｗ'!C19:L19,5)</f>
        <v>光希</v>
      </c>
      <c r="K255" s="149">
        <f>VLOOKUP(17,'２×Ｗ'!C19:L19,6)</f>
        <v>2</v>
      </c>
      <c r="L255" s="139"/>
      <c r="M255" s="15"/>
    </row>
    <row r="256" spans="1:13" ht="13.5" thickBot="1">
      <c r="A256" s="136" t="s">
        <v>27</v>
      </c>
      <c r="B256" s="137" t="str">
        <f>VLOOKUP(15,'２×Ｗ'!C17:L17,4)</f>
        <v>加藤</v>
      </c>
      <c r="C256" s="138" t="str">
        <f>VLOOKUP(15,'２×Ｗ'!C17:L17,5)</f>
        <v>旭葉</v>
      </c>
      <c r="D256" s="137">
        <f>VLOOKUP(15,'２×Ｗ'!C17:L17,6)</f>
        <v>2</v>
      </c>
      <c r="E256" s="139"/>
      <c r="F256" s="15"/>
      <c r="G256" s="125"/>
      <c r="H256" s="136" t="s">
        <v>27</v>
      </c>
      <c r="I256" s="137" t="str">
        <f>VLOOKUP(18,'２×Ｗ'!C20:L20,4)</f>
        <v>金岡</v>
      </c>
      <c r="J256" s="138" t="str">
        <f>VLOOKUP(18,'２×Ｗ'!C20:L20,5)</f>
        <v>翠夏</v>
      </c>
      <c r="K256" s="137">
        <f>VLOOKUP(18,'２×Ｗ'!C20:L20,6)</f>
        <v>3</v>
      </c>
      <c r="L256" s="139"/>
      <c r="M256" s="15"/>
    </row>
    <row r="257" spans="1:13" ht="13.5" thickBot="1">
      <c r="A257" s="15"/>
      <c r="B257" s="15"/>
      <c r="C257" s="15"/>
      <c r="D257" s="15"/>
      <c r="E257" s="15"/>
      <c r="F257" s="15"/>
      <c r="G257" s="146"/>
      <c r="H257" s="15"/>
      <c r="I257" s="15"/>
      <c r="J257" s="15"/>
      <c r="K257" s="15"/>
      <c r="L257" s="15"/>
      <c r="M257" s="15"/>
    </row>
    <row r="258" spans="1:13" ht="13.5" thickBot="1">
      <c r="A258" s="129" t="s">
        <v>16</v>
      </c>
      <c r="B258" s="410" t="str">
        <f>VLOOKUP(19,'２×Ｗ'!C21:L21,2)</f>
        <v>浜松湖南高校C</v>
      </c>
      <c r="C258" s="411"/>
      <c r="D258" s="130" t="s">
        <v>21</v>
      </c>
      <c r="E258" s="155" t="str">
        <f>VLOOKUP(19,'２×Ｗ'!C21:L21,9)</f>
        <v>鈴木</v>
      </c>
      <c r="F258" s="156" t="str">
        <f>VLOOKUP(19,'２×Ｗ'!C21:M21,10)</f>
        <v>基弘</v>
      </c>
      <c r="G258" s="125"/>
      <c r="H258" s="129" t="s">
        <v>16</v>
      </c>
      <c r="I258" s="410">
        <f>VLOOKUP(22,'２×Ｗ'!C24:L24,2)</f>
        <v>0</v>
      </c>
      <c r="J258" s="411"/>
      <c r="K258" s="130" t="s">
        <v>21</v>
      </c>
      <c r="L258" s="155">
        <f>VLOOKUP(22,'２×Ｗ'!C24:L24,9)</f>
        <v>0</v>
      </c>
      <c r="M258" s="156">
        <f>VLOOKUP(22,'２×Ｗ'!C24:M24,10)</f>
        <v>0</v>
      </c>
    </row>
    <row r="259" spans="1:13">
      <c r="A259" s="140" t="s">
        <v>22</v>
      </c>
      <c r="B259" s="141" t="s">
        <v>17</v>
      </c>
      <c r="C259" s="142" t="s">
        <v>19</v>
      </c>
      <c r="D259" s="141" t="s">
        <v>23</v>
      </c>
      <c r="E259" s="134"/>
      <c r="F259" s="135"/>
      <c r="G259" s="125"/>
      <c r="H259" s="140" t="s">
        <v>22</v>
      </c>
      <c r="I259" s="141" t="s">
        <v>17</v>
      </c>
      <c r="J259" s="142" t="s">
        <v>19</v>
      </c>
      <c r="K259" s="141" t="s">
        <v>23</v>
      </c>
      <c r="L259" s="134"/>
      <c r="M259" s="135"/>
    </row>
    <row r="260" spans="1:13">
      <c r="A260" s="148" t="s">
        <v>24</v>
      </c>
      <c r="B260" s="149" t="str">
        <f>VLOOKUP(19,'２×Ｗ'!C21:L21,4)</f>
        <v>原田</v>
      </c>
      <c r="C260" s="150" t="str">
        <f>VLOOKUP(19,'２×Ｗ'!C21:L21,5)</f>
        <v>亜美</v>
      </c>
      <c r="D260" s="149">
        <f>VLOOKUP(19,'２×Ｗ'!C21:L21,6)</f>
        <v>2</v>
      </c>
      <c r="E260" s="139"/>
      <c r="F260" s="15"/>
      <c r="G260" s="125"/>
      <c r="H260" s="148" t="s">
        <v>24</v>
      </c>
      <c r="I260" s="149">
        <f>VLOOKUP(22,'２×Ｗ'!C24:L24,4)</f>
        <v>0</v>
      </c>
      <c r="J260" s="150">
        <f>VLOOKUP(22,'２×Ｗ'!C24:L24,5)</f>
        <v>0</v>
      </c>
      <c r="K260" s="149">
        <f>VLOOKUP(22,'２×Ｗ'!C24:L24,6)</f>
        <v>0</v>
      </c>
      <c r="L260" s="139"/>
      <c r="M260" s="15"/>
    </row>
    <row r="261" spans="1:13">
      <c r="A261" s="148" t="s">
        <v>107</v>
      </c>
      <c r="B261" s="149" t="str">
        <f>VLOOKUP(20,'２×Ｗ'!C22:L22,4)</f>
        <v>西村</v>
      </c>
      <c r="C261" s="150" t="str">
        <f>VLOOKUP(20,'２×Ｗ'!C22:L22,5)</f>
        <v>京花</v>
      </c>
      <c r="D261" s="149">
        <f>VLOOKUP(20,'２×Ｗ'!C22:L22,6)</f>
        <v>2</v>
      </c>
      <c r="E261" s="139"/>
      <c r="F261" s="15"/>
      <c r="G261" s="126"/>
      <c r="H261" s="148" t="s">
        <v>107</v>
      </c>
      <c r="I261" s="149">
        <f>VLOOKUP(23,'２×Ｗ'!C25:L25,4)</f>
        <v>0</v>
      </c>
      <c r="J261" s="150">
        <f>VLOOKUP(23,'２×Ｗ'!C25:L25,5)</f>
        <v>0</v>
      </c>
      <c r="K261" s="149">
        <f>VLOOKUP(23,'２×Ｗ'!C25:L25,6)</f>
        <v>0</v>
      </c>
      <c r="L261" s="139"/>
      <c r="M261" s="15"/>
    </row>
    <row r="262" spans="1:13" ht="13.5" thickBot="1">
      <c r="A262" s="136" t="s">
        <v>27</v>
      </c>
      <c r="B262" s="137" t="str">
        <f>VLOOKUP(21,'２×Ｗ'!C23:L23,4)</f>
        <v>市川</v>
      </c>
      <c r="C262" s="138" t="str">
        <f>VLOOKUP(21,'２×Ｗ'!C23:L23,5)</f>
        <v>もね</v>
      </c>
      <c r="D262" s="137">
        <f>VLOOKUP(21,'２×Ｗ'!C23:L23,6)</f>
        <v>3</v>
      </c>
      <c r="E262" s="139"/>
      <c r="F262" s="15"/>
      <c r="G262" s="125"/>
      <c r="H262" s="136" t="s">
        <v>27</v>
      </c>
      <c r="I262" s="137">
        <f>VLOOKUP(24,'２×Ｗ'!C26:L26,4)</f>
        <v>0</v>
      </c>
      <c r="J262" s="138">
        <f>VLOOKUP(24,'２×Ｗ'!C26:L26,5)</f>
        <v>0</v>
      </c>
      <c r="K262" s="137">
        <f>VLOOKUP(24,'２×Ｗ'!C26:L26,6)</f>
        <v>0</v>
      </c>
      <c r="L262" s="139"/>
      <c r="M262" s="15"/>
    </row>
    <row r="263" spans="1:13" ht="13.5" hidden="1" thickBot="1">
      <c r="A263" s="15"/>
      <c r="B263" s="146"/>
      <c r="C263" s="15"/>
      <c r="D263" s="146"/>
      <c r="E263" s="15"/>
      <c r="F263" s="15"/>
      <c r="G263" s="125"/>
      <c r="H263" s="15"/>
      <c r="I263" s="146"/>
      <c r="J263" s="15"/>
      <c r="K263" s="146"/>
      <c r="L263" s="15"/>
      <c r="M263" s="15"/>
    </row>
    <row r="264" spans="1:13" ht="13.5" hidden="1" thickBot="1">
      <c r="A264" s="129" t="s">
        <v>16</v>
      </c>
      <c r="B264" s="410">
        <f>VLOOKUP(25,'２×Ｗ'!C27:L27,2)</f>
        <v>0</v>
      </c>
      <c r="C264" s="411"/>
      <c r="D264" s="130" t="s">
        <v>21</v>
      </c>
      <c r="E264" s="155">
        <f>VLOOKUP(25,'２×Ｗ'!C27:L27,9)</f>
        <v>0</v>
      </c>
      <c r="F264" s="156">
        <f>VLOOKUP(25,'２×Ｗ'!C27:M27,10)</f>
        <v>0</v>
      </c>
      <c r="G264" s="125"/>
      <c r="H264" s="129" t="s">
        <v>16</v>
      </c>
      <c r="I264" s="410">
        <f>VLOOKUP(28,'２×Ｗ'!C30:L30,2)</f>
        <v>0</v>
      </c>
      <c r="J264" s="411"/>
      <c r="K264" s="130" t="s">
        <v>21</v>
      </c>
      <c r="L264" s="155">
        <f>VLOOKUP(28,'２×Ｗ'!C30:L30,9)</f>
        <v>0</v>
      </c>
      <c r="M264" s="156">
        <f>VLOOKUP(28,'２×Ｗ'!C30:M30,10)</f>
        <v>0</v>
      </c>
    </row>
    <row r="265" spans="1:13" hidden="1">
      <c r="A265" s="140" t="s">
        <v>22</v>
      </c>
      <c r="B265" s="141" t="s">
        <v>17</v>
      </c>
      <c r="C265" s="142" t="s">
        <v>19</v>
      </c>
      <c r="D265" s="141" t="s">
        <v>23</v>
      </c>
      <c r="E265" s="134"/>
      <c r="F265" s="135"/>
      <c r="G265" s="125"/>
      <c r="H265" s="140" t="s">
        <v>22</v>
      </c>
      <c r="I265" s="141" t="s">
        <v>17</v>
      </c>
      <c r="J265" s="142" t="s">
        <v>19</v>
      </c>
      <c r="K265" s="141" t="s">
        <v>23</v>
      </c>
      <c r="L265" s="134"/>
      <c r="M265" s="135"/>
    </row>
    <row r="266" spans="1:13" hidden="1">
      <c r="A266" s="148" t="s">
        <v>24</v>
      </c>
      <c r="B266" s="149">
        <f>VLOOKUP(25,'２×Ｗ'!C27:L27,4)</f>
        <v>0</v>
      </c>
      <c r="C266" s="150">
        <f>VLOOKUP(25,'２×Ｗ'!C27:L27,5)</f>
        <v>0</v>
      </c>
      <c r="D266" s="149">
        <f>VLOOKUP(25,'２×Ｗ'!C27:L27,6)</f>
        <v>0</v>
      </c>
      <c r="E266" s="139"/>
      <c r="F266" s="15"/>
      <c r="G266" s="125"/>
      <c r="H266" s="148" t="s">
        <v>24</v>
      </c>
      <c r="I266" s="149">
        <f>VLOOKUP(28,'２×Ｗ'!C30:L30,4)</f>
        <v>0</v>
      </c>
      <c r="J266" s="150">
        <f>VLOOKUP(28,'２×Ｗ'!C30:L30,5)</f>
        <v>0</v>
      </c>
      <c r="K266" s="149">
        <f>VLOOKUP(28,'２×Ｗ'!C30:L30,6)</f>
        <v>0</v>
      </c>
      <c r="L266" s="139"/>
      <c r="M266" s="15"/>
    </row>
    <row r="267" spans="1:13" hidden="1">
      <c r="A267" s="148" t="s">
        <v>107</v>
      </c>
      <c r="B267" s="149">
        <f>VLOOKUP(26,'２×Ｗ'!C28:L28,4)</f>
        <v>0</v>
      </c>
      <c r="C267" s="150">
        <f>VLOOKUP(26,'２×Ｗ'!C28:L28,5)</f>
        <v>0</v>
      </c>
      <c r="D267" s="149">
        <f>VLOOKUP(26,'２×Ｗ'!C28:L28,6)</f>
        <v>0</v>
      </c>
      <c r="E267" s="139"/>
      <c r="F267" s="15"/>
      <c r="G267" s="126"/>
      <c r="H267" s="148" t="s">
        <v>107</v>
      </c>
      <c r="I267" s="149">
        <f>VLOOKUP(29,'２×Ｗ'!C31:L31,4)</f>
        <v>0</v>
      </c>
      <c r="J267" s="150">
        <f>VLOOKUP(29,'２×Ｗ'!C31:L31,5)</f>
        <v>0</v>
      </c>
      <c r="K267" s="149">
        <f>VLOOKUP(29,'２×Ｗ'!C31:L31,6)</f>
        <v>0</v>
      </c>
      <c r="L267" s="139"/>
      <c r="M267" s="15"/>
    </row>
    <row r="268" spans="1:13" ht="13.5" hidden="1" thickBot="1">
      <c r="A268" s="136" t="s">
        <v>27</v>
      </c>
      <c r="B268" s="137">
        <f>VLOOKUP(27,'２×Ｗ'!C29:L29,4)</f>
        <v>0</v>
      </c>
      <c r="C268" s="138">
        <f>VLOOKUP(27,'２×Ｗ'!C29:L29,5)</f>
        <v>0</v>
      </c>
      <c r="D268" s="137">
        <f>VLOOKUP(27,'２×Ｗ'!C29:L29,6)</f>
        <v>0</v>
      </c>
      <c r="E268" s="139"/>
      <c r="F268" s="15"/>
      <c r="G268" s="125"/>
      <c r="H268" s="136" t="s">
        <v>27</v>
      </c>
      <c r="I268" s="137">
        <f>VLOOKUP(30,'２×Ｗ'!C32:L32,4)</f>
        <v>0</v>
      </c>
      <c r="J268" s="138">
        <f>VLOOKUP(30,'２×Ｗ'!C32:L32,5)</f>
        <v>0</v>
      </c>
      <c r="K268" s="137">
        <f>VLOOKUP(30,'２×Ｗ'!C32:L32,6)</f>
        <v>0</v>
      </c>
      <c r="L268" s="139"/>
      <c r="M268" s="15"/>
    </row>
    <row r="269" spans="1:13">
      <c r="A269" s="125"/>
      <c r="B269" s="125"/>
      <c r="C269" s="126"/>
      <c r="D269" s="125"/>
      <c r="E269" s="126"/>
      <c r="F269" s="126"/>
      <c r="G269" s="125"/>
      <c r="H269" s="125"/>
      <c r="I269" s="125"/>
      <c r="J269" s="126"/>
      <c r="K269" s="125"/>
      <c r="L269" s="126"/>
      <c r="M269" s="126"/>
    </row>
    <row r="270" spans="1:13" ht="13.5" hidden="1" thickBot="1">
      <c r="A270" s="129" t="s">
        <v>16</v>
      </c>
      <c r="B270" s="410">
        <f>VLOOKUP(31,'２×Ｗ'!C33:L33,2)</f>
        <v>0</v>
      </c>
      <c r="C270" s="411"/>
      <c r="D270" s="130" t="s">
        <v>21</v>
      </c>
      <c r="E270" s="155">
        <f>VLOOKUP(31,'２×Ｗ'!C33:L33,9)</f>
        <v>0</v>
      </c>
      <c r="F270" s="156">
        <f>VLOOKUP(31,'２×Ｗ'!C33:M33,10)</f>
        <v>0</v>
      </c>
      <c r="G270" s="125"/>
      <c r="H270" s="129" t="s">
        <v>16</v>
      </c>
      <c r="I270" s="410">
        <f>VLOOKUP(34,'２×Ｗ'!C36:L36,2)</f>
        <v>0</v>
      </c>
      <c r="J270" s="411"/>
      <c r="K270" s="130" t="s">
        <v>21</v>
      </c>
      <c r="L270" s="155">
        <f>VLOOKUP(34,'２×Ｗ'!C36:L36,9)</f>
        <v>0</v>
      </c>
      <c r="M270" s="156">
        <f>VLOOKUP(34,'２×Ｗ'!C36:M36,10)</f>
        <v>0</v>
      </c>
    </row>
    <row r="271" spans="1:13" hidden="1">
      <c r="A271" s="140" t="s">
        <v>22</v>
      </c>
      <c r="B271" s="141" t="s">
        <v>17</v>
      </c>
      <c r="C271" s="142" t="s">
        <v>19</v>
      </c>
      <c r="D271" s="141" t="s">
        <v>23</v>
      </c>
      <c r="E271" s="134"/>
      <c r="F271" s="135"/>
      <c r="G271" s="125"/>
      <c r="H271" s="140" t="s">
        <v>22</v>
      </c>
      <c r="I271" s="141" t="s">
        <v>17</v>
      </c>
      <c r="J271" s="142" t="s">
        <v>19</v>
      </c>
      <c r="K271" s="141" t="s">
        <v>23</v>
      </c>
      <c r="L271" s="134"/>
      <c r="M271" s="135"/>
    </row>
    <row r="272" spans="1:13" hidden="1">
      <c r="A272" s="148" t="s">
        <v>24</v>
      </c>
      <c r="B272" s="149">
        <f>VLOOKUP(31,'２×Ｗ'!C33:L33,4)</f>
        <v>0</v>
      </c>
      <c r="C272" s="150">
        <f>VLOOKUP(31,'２×Ｗ'!C33:L33,5)</f>
        <v>0</v>
      </c>
      <c r="D272" s="149">
        <f>VLOOKUP(31,'２×Ｗ'!C33:L33,6)</f>
        <v>0</v>
      </c>
      <c r="E272" s="139"/>
      <c r="F272" s="15"/>
      <c r="G272" s="125"/>
      <c r="H272" s="148" t="s">
        <v>24</v>
      </c>
      <c r="I272" s="149">
        <f>VLOOKUP(34,'２×Ｗ'!C36:L36,4)</f>
        <v>0</v>
      </c>
      <c r="J272" s="150">
        <f>VLOOKUP(34,'２×Ｗ'!C36:L36,5)</f>
        <v>0</v>
      </c>
      <c r="K272" s="149">
        <f>VLOOKUP(34,'２×Ｗ'!C36:L36,6)</f>
        <v>0</v>
      </c>
      <c r="L272" s="139"/>
      <c r="M272" s="15"/>
    </row>
    <row r="273" spans="1:13" hidden="1">
      <c r="A273" s="148" t="s">
        <v>107</v>
      </c>
      <c r="B273" s="149">
        <f>VLOOKUP(32,'２×Ｗ'!C34:L34,4)</f>
        <v>0</v>
      </c>
      <c r="C273" s="150">
        <f>VLOOKUP(32,'２×Ｗ'!C34:L34,5)</f>
        <v>0</v>
      </c>
      <c r="D273" s="149">
        <f>VLOOKUP(32,'２×Ｗ'!C34:L34,6)</f>
        <v>0</v>
      </c>
      <c r="E273" s="139"/>
      <c r="F273" s="15"/>
      <c r="G273" s="126"/>
      <c r="H273" s="148" t="s">
        <v>107</v>
      </c>
      <c r="I273" s="149">
        <f>VLOOKUP(35,'２×Ｗ'!C37:L37,4)</f>
        <v>0</v>
      </c>
      <c r="J273" s="150">
        <f>VLOOKUP(35,'２×Ｗ'!C37:L37,5)</f>
        <v>0</v>
      </c>
      <c r="K273" s="149">
        <f>VLOOKUP(35,'２×Ｗ'!C37:L37,6)</f>
        <v>0</v>
      </c>
      <c r="L273" s="139"/>
      <c r="M273" s="15"/>
    </row>
    <row r="274" spans="1:13" ht="13.5" hidden="1" thickBot="1">
      <c r="A274" s="136" t="s">
        <v>27</v>
      </c>
      <c r="B274" s="137">
        <f>VLOOKUP(33,'２×Ｗ'!C35:L35,4)</f>
        <v>0</v>
      </c>
      <c r="C274" s="138">
        <f>VLOOKUP(33,'２×Ｗ'!C35:L35,5)</f>
        <v>0</v>
      </c>
      <c r="D274" s="137">
        <f>VLOOKUP(33,'２×Ｗ'!C35:L35,6)</f>
        <v>0</v>
      </c>
      <c r="E274" s="139"/>
      <c r="F274" s="15"/>
      <c r="G274" s="125"/>
      <c r="H274" s="136" t="s">
        <v>27</v>
      </c>
      <c r="I274" s="137">
        <f>VLOOKUP(36,'２×Ｗ'!C38:L38,4)</f>
        <v>0</v>
      </c>
      <c r="J274" s="138">
        <f>VLOOKUP(36,'２×Ｗ'!C38:L38,5)</f>
        <v>0</v>
      </c>
      <c r="K274" s="137">
        <f>VLOOKUP(36,'２×Ｗ'!C38:L38,6)</f>
        <v>0</v>
      </c>
      <c r="L274" s="139"/>
      <c r="M274" s="15"/>
    </row>
    <row r="275" spans="1:13" ht="13.5" hidden="1" thickBot="1">
      <c r="A275" s="15"/>
      <c r="B275" s="15"/>
      <c r="C275" s="15"/>
      <c r="D275" s="15"/>
      <c r="E275" s="15"/>
      <c r="F275" s="15"/>
      <c r="G275" s="125"/>
      <c r="H275" s="15"/>
      <c r="I275" s="15"/>
      <c r="J275" s="15"/>
      <c r="K275" s="15"/>
      <c r="L275" s="15"/>
      <c r="M275" s="15"/>
    </row>
    <row r="276" spans="1:13" ht="13.5" hidden="1" thickBot="1">
      <c r="A276" s="129" t="s">
        <v>16</v>
      </c>
      <c r="B276" s="410">
        <f>VLOOKUP(37,'２×Ｗ'!C39:L39,2)</f>
        <v>0</v>
      </c>
      <c r="C276" s="411"/>
      <c r="D276" s="130" t="s">
        <v>21</v>
      </c>
      <c r="E276" s="155">
        <f>VLOOKUP(37,'２×Ｗ'!C39:L39,9)</f>
        <v>0</v>
      </c>
      <c r="F276" s="156">
        <f>VLOOKUP(37,'２×Ｗ'!C39:M39,10)</f>
        <v>0</v>
      </c>
      <c r="G276" s="125"/>
      <c r="H276" s="129" t="s">
        <v>16</v>
      </c>
      <c r="I276" s="410">
        <f>VLOOKUP(40,'２×Ｗ'!C42:L42,2)</f>
        <v>0</v>
      </c>
      <c r="J276" s="411"/>
      <c r="K276" s="130" t="s">
        <v>21</v>
      </c>
      <c r="L276" s="155">
        <f>VLOOKUP(40,'２×Ｗ'!C42:L42,9)</f>
        <v>0</v>
      </c>
      <c r="M276" s="156">
        <f>VLOOKUP(40,'２×Ｗ'!C42:M42,10)</f>
        <v>0</v>
      </c>
    </row>
    <row r="277" spans="1:13" hidden="1">
      <c r="A277" s="140" t="s">
        <v>22</v>
      </c>
      <c r="B277" s="141" t="s">
        <v>17</v>
      </c>
      <c r="C277" s="142" t="s">
        <v>19</v>
      </c>
      <c r="D277" s="141" t="s">
        <v>23</v>
      </c>
      <c r="E277" s="134"/>
      <c r="F277" s="135"/>
      <c r="G277" s="125"/>
      <c r="H277" s="140" t="s">
        <v>22</v>
      </c>
      <c r="I277" s="141" t="s">
        <v>17</v>
      </c>
      <c r="J277" s="142" t="s">
        <v>19</v>
      </c>
      <c r="K277" s="141" t="s">
        <v>23</v>
      </c>
      <c r="L277" s="134"/>
      <c r="M277" s="135"/>
    </row>
    <row r="278" spans="1:13" hidden="1">
      <c r="A278" s="148" t="s">
        <v>24</v>
      </c>
      <c r="B278" s="149">
        <f>VLOOKUP(37,'２×Ｗ'!C39:L39,4)</f>
        <v>0</v>
      </c>
      <c r="C278" s="150">
        <f>VLOOKUP(37,'２×Ｗ'!C39:L39,5)</f>
        <v>0</v>
      </c>
      <c r="D278" s="149">
        <f>VLOOKUP(37,'２×Ｗ'!C39:L39,6)</f>
        <v>0</v>
      </c>
      <c r="E278" s="139"/>
      <c r="F278" s="15"/>
      <c r="G278" s="125"/>
      <c r="H278" s="148" t="s">
        <v>24</v>
      </c>
      <c r="I278" s="149">
        <f>VLOOKUP(40,'２×Ｗ'!C42:L42,4)</f>
        <v>0</v>
      </c>
      <c r="J278" s="150">
        <f>VLOOKUP(40,'２×Ｗ'!C42:L42,5)</f>
        <v>0</v>
      </c>
      <c r="K278" s="149">
        <f>VLOOKUP(40,'２×Ｗ'!C42:L42,6)</f>
        <v>0</v>
      </c>
      <c r="L278" s="139"/>
      <c r="M278" s="15"/>
    </row>
    <row r="279" spans="1:13" hidden="1">
      <c r="A279" s="148" t="s">
        <v>107</v>
      </c>
      <c r="B279" s="149">
        <f>VLOOKUP(38,'２×Ｗ'!C40:L40,4)</f>
        <v>0</v>
      </c>
      <c r="C279" s="150">
        <f>VLOOKUP(38,'２×Ｗ'!C40:L40,5)</f>
        <v>0</v>
      </c>
      <c r="D279" s="149">
        <f>VLOOKUP(38,'２×Ｗ'!C40:L40,6)</f>
        <v>0</v>
      </c>
      <c r="E279" s="139"/>
      <c r="F279" s="15"/>
      <c r="G279" s="126"/>
      <c r="H279" s="148" t="s">
        <v>107</v>
      </c>
      <c r="I279" s="149">
        <f>VLOOKUP(41,'２×Ｗ'!C43:L43,4)</f>
        <v>0</v>
      </c>
      <c r="J279" s="150">
        <f>VLOOKUP(41,'２×Ｗ'!C43:L43,5)</f>
        <v>0</v>
      </c>
      <c r="K279" s="149">
        <f>VLOOKUP(41,'２×Ｗ'!C43:L43,6)</f>
        <v>0</v>
      </c>
      <c r="L279" s="139"/>
      <c r="M279" s="15"/>
    </row>
    <row r="280" spans="1:13" ht="13.5" hidden="1" thickBot="1">
      <c r="A280" s="136" t="s">
        <v>27</v>
      </c>
      <c r="B280" s="137">
        <f>VLOOKUP(39,'２×Ｗ'!C41:L41,4)</f>
        <v>0</v>
      </c>
      <c r="C280" s="138">
        <f>VLOOKUP(39,'２×Ｗ'!C41:L41,5)</f>
        <v>0</v>
      </c>
      <c r="D280" s="137">
        <f>VLOOKUP(39,'２×Ｗ'!C41:L41,6)</f>
        <v>0</v>
      </c>
      <c r="E280" s="139"/>
      <c r="F280" s="15"/>
      <c r="G280" s="125"/>
      <c r="H280" s="136" t="s">
        <v>27</v>
      </c>
      <c r="I280" s="137">
        <f>VLOOKUP(42,'２×Ｗ'!C44:L44,4)</f>
        <v>0</v>
      </c>
      <c r="J280" s="138">
        <f>VLOOKUP(42,'２×Ｗ'!C44:L44,5)</f>
        <v>0</v>
      </c>
      <c r="K280" s="137">
        <f>VLOOKUP(42,'２×Ｗ'!C44:L44,6)</f>
        <v>0</v>
      </c>
      <c r="L280" s="139"/>
      <c r="M280" s="15"/>
    </row>
    <row r="281" spans="1:13" hidden="1">
      <c r="A281" s="15"/>
      <c r="B281" s="15"/>
      <c r="C281" s="15"/>
      <c r="D281" s="15"/>
      <c r="E281" s="15"/>
      <c r="F281" s="15"/>
      <c r="G281" s="125"/>
      <c r="H281" s="15"/>
      <c r="I281" s="15"/>
      <c r="J281" s="15"/>
      <c r="K281" s="15"/>
      <c r="L281" s="15"/>
      <c r="M281" s="15"/>
    </row>
    <row r="282" spans="1:13" ht="16.5">
      <c r="A282" s="127" t="s">
        <v>81</v>
      </c>
      <c r="B282" s="127"/>
      <c r="C282" s="128"/>
      <c r="D282" s="127"/>
      <c r="E282" s="128"/>
      <c r="F282" s="128"/>
      <c r="G282" s="127"/>
      <c r="H282" s="127"/>
      <c r="I282" s="127"/>
      <c r="J282" s="128"/>
      <c r="K282" s="127"/>
      <c r="L282" s="128"/>
      <c r="M282" s="128"/>
    </row>
    <row r="283" spans="1:13" ht="13.5" thickBot="1">
      <c r="A283" s="125"/>
      <c r="B283" s="125"/>
      <c r="C283" s="126"/>
      <c r="D283" s="125"/>
      <c r="E283" s="126"/>
      <c r="F283" s="126"/>
      <c r="G283" s="125"/>
      <c r="H283" s="125"/>
      <c r="I283" s="125"/>
      <c r="J283" s="126"/>
      <c r="K283" s="125"/>
      <c r="L283" s="126"/>
      <c r="M283" s="126"/>
    </row>
    <row r="284" spans="1:13" ht="13.5" thickBot="1">
      <c r="A284" s="129" t="s">
        <v>4</v>
      </c>
      <c r="B284" s="410" t="str">
        <f>VLOOKUP(1,'4×+M'!C3:L3,2)</f>
        <v>浜松西高校</v>
      </c>
      <c r="C284" s="411"/>
      <c r="D284" s="130" t="s">
        <v>46</v>
      </c>
      <c r="E284" s="155" t="str">
        <f>VLOOKUP(1,'4×+M'!C3:L3,9)</f>
        <v>上西</v>
      </c>
      <c r="F284" s="156" t="str">
        <f>VLOOKUP(1,'4×+M'!C3:M3,10)</f>
        <v>智紀</v>
      </c>
      <c r="G284" s="125"/>
      <c r="H284" s="129" t="s">
        <v>4</v>
      </c>
      <c r="I284" s="410" t="str">
        <f>VLOOKUP(8,'4×+M'!C10:L10,2)</f>
        <v>新居高校A</v>
      </c>
      <c r="J284" s="411"/>
      <c r="K284" s="130" t="s">
        <v>21</v>
      </c>
      <c r="L284" s="155" t="str">
        <f>VLOOKUP(8,'4×+M'!C10:L10,9)</f>
        <v>越智</v>
      </c>
      <c r="M284" s="156" t="str">
        <f>VLOOKUP(8,'4×+M'!C10:M10,10)</f>
        <v>千紗都</v>
      </c>
    </row>
    <row r="285" spans="1:13">
      <c r="A285" s="140" t="s">
        <v>22</v>
      </c>
      <c r="B285" s="141" t="s">
        <v>17</v>
      </c>
      <c r="C285" s="142" t="s">
        <v>19</v>
      </c>
      <c r="D285" s="141" t="s">
        <v>23</v>
      </c>
      <c r="E285" s="134"/>
      <c r="F285" s="135"/>
      <c r="G285" s="125"/>
      <c r="H285" s="140" t="s">
        <v>22</v>
      </c>
      <c r="I285" s="141" t="s">
        <v>17</v>
      </c>
      <c r="J285" s="142" t="s">
        <v>19</v>
      </c>
      <c r="K285" s="141" t="s">
        <v>23</v>
      </c>
      <c r="L285" s="134"/>
      <c r="M285" s="135"/>
    </row>
    <row r="286" spans="1:13">
      <c r="A286" s="148" t="s">
        <v>39</v>
      </c>
      <c r="B286" s="149" t="str">
        <f>VLOOKUP(1,'4×+M'!C3:L3,4)</f>
        <v>飯田</v>
      </c>
      <c r="C286" s="150" t="str">
        <f>VLOOKUP(1,'4×+M'!C3:L3,5)</f>
        <v>純晟</v>
      </c>
      <c r="D286" s="149">
        <f>VLOOKUP(1,'4×+M'!C3:L3,6)</f>
        <v>2</v>
      </c>
      <c r="E286" s="139"/>
      <c r="F286" s="15"/>
      <c r="G286" s="125"/>
      <c r="H286" s="148" t="s">
        <v>39</v>
      </c>
      <c r="I286" s="149" t="str">
        <f>VLOOKUP(8,'4×+M'!C10:L10,4)</f>
        <v>山内</v>
      </c>
      <c r="J286" s="150" t="str">
        <f>VLOOKUP(8,'4×+M'!C10:L10,5)</f>
        <v>亮河</v>
      </c>
      <c r="K286" s="149">
        <f>VLOOKUP(8,'4×+M'!C10:L10,6)</f>
        <v>3</v>
      </c>
      <c r="L286" s="139"/>
      <c r="M286" s="15"/>
    </row>
    <row r="287" spans="1:13">
      <c r="A287" s="148" t="s">
        <v>24</v>
      </c>
      <c r="B287" s="149" t="str">
        <f>VLOOKUP(2,'4×+M'!C4:L4,4)</f>
        <v>原田</v>
      </c>
      <c r="C287" s="150" t="str">
        <f>VLOOKUP(2,'4×+M'!C4:L4,5)</f>
        <v>和季</v>
      </c>
      <c r="D287" s="149">
        <f>VLOOKUP(2,'4×+M'!C4:L4,6)</f>
        <v>3</v>
      </c>
      <c r="E287" s="139"/>
      <c r="F287" s="15"/>
      <c r="G287" s="125"/>
      <c r="H287" s="148" t="s">
        <v>24</v>
      </c>
      <c r="I287" s="149" t="str">
        <f>VLOOKUP(9,'4×+M'!C11:L11,4)</f>
        <v>大西</v>
      </c>
      <c r="J287" s="150" t="str">
        <f>VLOOKUP(9,'4×+M'!C11:L11,5)</f>
        <v>浩介</v>
      </c>
      <c r="K287" s="149">
        <f>VLOOKUP(9,'4×+M'!C11:L11,6)</f>
        <v>2</v>
      </c>
      <c r="L287" s="139"/>
      <c r="M287" s="15"/>
    </row>
    <row r="288" spans="1:13">
      <c r="A288" s="148">
        <v>3</v>
      </c>
      <c r="B288" s="149" t="str">
        <f>VLOOKUP(3,'4×+M'!C5:L5,4)</f>
        <v>石川</v>
      </c>
      <c r="C288" s="150" t="str">
        <f>VLOOKUP(3,'4×+M'!C5:L5,5)</f>
        <v>新之介</v>
      </c>
      <c r="D288" s="149">
        <f>VLOOKUP(3,'4×+M'!C5:L5,6)</f>
        <v>3</v>
      </c>
      <c r="E288" s="139"/>
      <c r="F288" s="15"/>
      <c r="G288" s="125"/>
      <c r="H288" s="148">
        <v>3</v>
      </c>
      <c r="I288" s="149" t="str">
        <f>VLOOKUP(10,'4×+M'!C12:L12,4)</f>
        <v>内藤</v>
      </c>
      <c r="J288" s="150" t="str">
        <f>VLOOKUP(10,'4×+M'!C12:L12,5)</f>
        <v>晴樹</v>
      </c>
      <c r="K288" s="149">
        <f>VLOOKUP(10,'4×+M'!C12:L12,6)</f>
        <v>2</v>
      </c>
      <c r="L288" s="139"/>
      <c r="M288" s="15"/>
    </row>
    <row r="289" spans="1:13">
      <c r="A289" s="148">
        <v>2</v>
      </c>
      <c r="B289" s="149" t="str">
        <f>VLOOKUP(4,'4×+M'!C6:L6,4)</f>
        <v>金指</v>
      </c>
      <c r="C289" s="150" t="str">
        <f>VLOOKUP(4,'4×+M'!C6:L6,5)</f>
        <v>直宏</v>
      </c>
      <c r="D289" s="149">
        <f>VLOOKUP(4,'4×+M'!C6:L6,6)</f>
        <v>2</v>
      </c>
      <c r="E289" s="139"/>
      <c r="F289" s="15"/>
      <c r="G289" s="125"/>
      <c r="H289" s="148">
        <v>2</v>
      </c>
      <c r="I289" s="149" t="str">
        <f>VLOOKUP(11,'4×+M'!C13:L13,4)</f>
        <v>髙村</v>
      </c>
      <c r="J289" s="150" t="str">
        <f>VLOOKUP(11,'4×+M'!C13:L13,5)</f>
        <v>太一</v>
      </c>
      <c r="K289" s="149">
        <f>VLOOKUP(11,'4×+M'!C13:L13,6)</f>
        <v>2</v>
      </c>
      <c r="L289" s="139"/>
      <c r="M289" s="15"/>
    </row>
    <row r="290" spans="1:13">
      <c r="A290" s="148" t="s">
        <v>26</v>
      </c>
      <c r="B290" s="149" t="str">
        <f>VLOOKUP(5,'4×+M'!C7:L7,4)</f>
        <v>北川</v>
      </c>
      <c r="C290" s="150" t="str">
        <f>VLOOKUP(5,'4×+M'!C7:L7,5)</f>
        <v>湧大</v>
      </c>
      <c r="D290" s="149">
        <f>VLOOKUP(5,'4×+M'!C7:L7,6)</f>
        <v>2</v>
      </c>
      <c r="E290" s="139"/>
      <c r="F290" s="15"/>
      <c r="G290" s="125"/>
      <c r="H290" s="148" t="s">
        <v>26</v>
      </c>
      <c r="I290" s="152" t="str">
        <f>VLOOKUP(12,'4×+M'!C14:L14,4)</f>
        <v>垣田</v>
      </c>
      <c r="J290" s="150" t="str">
        <f>VLOOKUP(12,'4×+M'!C14:L14,5)</f>
        <v>稜空</v>
      </c>
      <c r="K290" s="149">
        <f>VLOOKUP(12,'4×+M'!C14:L14,6)</f>
        <v>2</v>
      </c>
      <c r="L290" s="139"/>
      <c r="M290" s="15"/>
    </row>
    <row r="291" spans="1:13">
      <c r="A291" s="148" t="s">
        <v>33</v>
      </c>
      <c r="B291" s="149" t="str">
        <f>VLOOKUP(6,'4×+M'!C8:L8,4)</f>
        <v>青山</v>
      </c>
      <c r="C291" s="150" t="str">
        <f>VLOOKUP(6,'4×+M'!C8:L8,5)</f>
        <v>純也</v>
      </c>
      <c r="D291" s="149">
        <f>VLOOKUP(6,'4×+M'!C8:L8,6)</f>
        <v>2</v>
      </c>
      <c r="E291" s="139"/>
      <c r="F291" s="15"/>
      <c r="G291" s="125"/>
      <c r="H291" s="148" t="s">
        <v>33</v>
      </c>
      <c r="I291" s="152" t="str">
        <f>VLOOKUP(13,'4×+M'!C15:L15,4)</f>
        <v>原</v>
      </c>
      <c r="J291" s="150" t="str">
        <f>VLOOKUP(13,'4×+M'!C15:L15,5)</f>
        <v>太壱</v>
      </c>
      <c r="K291" s="149">
        <f>VLOOKUP(13,'4×+M'!C15:L15,6)</f>
        <v>2</v>
      </c>
      <c r="L291" s="139"/>
      <c r="M291" s="15"/>
    </row>
    <row r="292" spans="1:13" ht="13.5" thickBot="1">
      <c r="A292" s="136" t="s">
        <v>33</v>
      </c>
      <c r="B292" s="137">
        <f>VLOOKUP(7,'4×+M'!C9:L9,4)</f>
        <v>0</v>
      </c>
      <c r="C292" s="138">
        <f>VLOOKUP(7,'4×+M'!C9:L9,5)</f>
        <v>0</v>
      </c>
      <c r="D292" s="137">
        <f>VLOOKUP(7,'4×+M'!C9:L9,6)</f>
        <v>0</v>
      </c>
      <c r="E292" s="139"/>
      <c r="F292" s="15"/>
      <c r="G292" s="125"/>
      <c r="H292" s="136" t="s">
        <v>33</v>
      </c>
      <c r="I292" s="153">
        <f>VLOOKUP(14,'4×+M'!C16:L16,4)</f>
        <v>0</v>
      </c>
      <c r="J292" s="138">
        <f>VLOOKUP(14,'4×+M'!C16:L16,5)</f>
        <v>0</v>
      </c>
      <c r="K292" s="137">
        <f>VLOOKUP(14,'4×+M'!C16:L16,6)</f>
        <v>0</v>
      </c>
      <c r="L292" s="139"/>
      <c r="M292" s="15"/>
    </row>
    <row r="293" spans="1:13" ht="13.5" thickBot="1">
      <c r="A293" s="125"/>
      <c r="B293" s="125"/>
      <c r="C293" s="126"/>
      <c r="D293" s="125"/>
      <c r="E293" s="126"/>
      <c r="F293" s="126"/>
      <c r="G293" s="125"/>
      <c r="H293" s="125"/>
      <c r="I293" s="125"/>
      <c r="J293" s="126"/>
      <c r="K293" s="125"/>
      <c r="L293" s="126"/>
      <c r="M293" s="126"/>
    </row>
    <row r="294" spans="1:13" ht="13.5" thickBot="1">
      <c r="A294" s="129" t="s">
        <v>16</v>
      </c>
      <c r="B294" s="410" t="str">
        <f>VLOOKUP(15,'4×+M'!C17:L17,2)</f>
        <v>新居高校B</v>
      </c>
      <c r="C294" s="411"/>
      <c r="D294" s="130" t="s">
        <v>21</v>
      </c>
      <c r="E294" s="155" t="str">
        <f>VLOOKUP(15,'4×+M'!C17:L17,9)</f>
        <v>越智</v>
      </c>
      <c r="F294" s="156" t="str">
        <f>VLOOKUP(15,'4×+M'!C17:M17,10)</f>
        <v>千紗都</v>
      </c>
      <c r="G294" s="125"/>
      <c r="H294" s="129" t="s">
        <v>16</v>
      </c>
      <c r="I294" s="410" t="str">
        <f>VLOOKUP(22,'4×+M'!C24:L24,2)</f>
        <v>沼津東高校</v>
      </c>
      <c r="J294" s="411"/>
      <c r="K294" s="130" t="s">
        <v>21</v>
      </c>
      <c r="L294" s="155" t="str">
        <f>VLOOKUP(22,'4×+M'!C24:L24,9)</f>
        <v>鈴木</v>
      </c>
      <c r="M294" s="156" t="str">
        <f>VLOOKUP(22,'4×+M'!C24:M24,10)</f>
        <v>亮次</v>
      </c>
    </row>
    <row r="295" spans="1:13">
      <c r="A295" s="140" t="s">
        <v>22</v>
      </c>
      <c r="B295" s="141" t="s">
        <v>17</v>
      </c>
      <c r="C295" s="142" t="s">
        <v>19</v>
      </c>
      <c r="D295" s="141" t="s">
        <v>23</v>
      </c>
      <c r="E295" s="134"/>
      <c r="F295" s="135"/>
      <c r="G295" s="125"/>
      <c r="H295" s="140" t="s">
        <v>22</v>
      </c>
      <c r="I295" s="141" t="s">
        <v>17</v>
      </c>
      <c r="J295" s="142" t="s">
        <v>19</v>
      </c>
      <c r="K295" s="141" t="s">
        <v>23</v>
      </c>
      <c r="L295" s="134"/>
      <c r="M295" s="135"/>
    </row>
    <row r="296" spans="1:13">
      <c r="A296" s="148" t="s">
        <v>39</v>
      </c>
      <c r="B296" s="149" t="str">
        <f>VLOOKUP(15,'4×+M'!C17:L17,4)</f>
        <v>石牧</v>
      </c>
      <c r="C296" s="150" t="str">
        <f>VLOOKUP(15,'4×+M'!C17:L17,5)</f>
        <v>諒一</v>
      </c>
      <c r="D296" s="149">
        <f>VLOOKUP(15,'4×+M'!C17:L17,6)</f>
        <v>2</v>
      </c>
      <c r="E296" s="139"/>
      <c r="F296" s="15"/>
      <c r="G296" s="125"/>
      <c r="H296" s="148" t="s">
        <v>39</v>
      </c>
      <c r="I296" s="149" t="str">
        <f>VLOOKUP(22,'4×+M'!C24:L24,4)</f>
        <v>加賀</v>
      </c>
      <c r="J296" s="150" t="str">
        <f>VLOOKUP(22,'4×+M'!C24:L24,5)</f>
        <v>優吾</v>
      </c>
      <c r="K296" s="149">
        <f>VLOOKUP(22,'4×+M'!C24:L24,6)</f>
        <v>3</v>
      </c>
      <c r="L296" s="139"/>
      <c r="M296" s="15"/>
    </row>
    <row r="297" spans="1:13">
      <c r="A297" s="148" t="s">
        <v>24</v>
      </c>
      <c r="B297" s="149" t="str">
        <f>VLOOKUP(16,'4×+M'!C18:L18,4)</f>
        <v>辻岡</v>
      </c>
      <c r="C297" s="150" t="str">
        <f>VLOOKUP(16,'4×+M'!C18:L18,5)</f>
        <v>大門</v>
      </c>
      <c r="D297" s="149">
        <f>VLOOKUP(16,'4×+M'!C18:L18,6)</f>
        <v>2</v>
      </c>
      <c r="E297" s="139"/>
      <c r="F297" s="15"/>
      <c r="G297" s="125"/>
      <c r="H297" s="148" t="s">
        <v>24</v>
      </c>
      <c r="I297" s="149" t="str">
        <f>VLOOKUP(23,'4×+M'!C25:L25,4)</f>
        <v>佐藤</v>
      </c>
      <c r="J297" s="150" t="str">
        <f>VLOOKUP(23,'4×+M'!C25:L25,5)</f>
        <v>恒佑</v>
      </c>
      <c r="K297" s="149">
        <f>VLOOKUP(23,'4×+M'!C25:L25,6)</f>
        <v>3</v>
      </c>
      <c r="L297" s="139"/>
      <c r="M297" s="15"/>
    </row>
    <row r="298" spans="1:13">
      <c r="A298" s="148">
        <v>3</v>
      </c>
      <c r="B298" s="149" t="str">
        <f>VLOOKUP(17,'4×+M'!C19:L19,4)</f>
        <v>今部</v>
      </c>
      <c r="C298" s="150" t="str">
        <f>VLOOKUP(17,'4×+M'!C19:L19,5)</f>
        <v>弥月</v>
      </c>
      <c r="D298" s="149">
        <f>VLOOKUP(17,'4×+M'!C19:L19,6)</f>
        <v>2</v>
      </c>
      <c r="E298" s="139"/>
      <c r="F298" s="15"/>
      <c r="G298" s="125"/>
      <c r="H298" s="148">
        <v>3</v>
      </c>
      <c r="I298" s="149" t="str">
        <f>VLOOKUP(24,'4×+M'!C26:L26,4)</f>
        <v>野村</v>
      </c>
      <c r="J298" s="150" t="str">
        <f>VLOOKUP(24,'4×+M'!C26:L26,5)</f>
        <v>佳吾</v>
      </c>
      <c r="K298" s="149">
        <f>VLOOKUP(24,'4×+M'!C26:L26,6)</f>
        <v>3</v>
      </c>
      <c r="L298" s="139"/>
      <c r="M298" s="15"/>
    </row>
    <row r="299" spans="1:13">
      <c r="A299" s="148">
        <v>2</v>
      </c>
      <c r="B299" s="149" t="str">
        <f>VLOOKUP(18,'4×+M'!C20:L20,4)</f>
        <v>飯島</v>
      </c>
      <c r="C299" s="150" t="str">
        <f>VLOOKUP(18,'4×+M'!C20:L20,5)</f>
        <v>凛</v>
      </c>
      <c r="D299" s="149">
        <f>VLOOKUP(18,'4×+M'!C20:L20,6)</f>
        <v>2</v>
      </c>
      <c r="E299" s="139"/>
      <c r="F299" s="15"/>
      <c r="G299" s="125"/>
      <c r="H299" s="148">
        <v>2</v>
      </c>
      <c r="I299" s="149" t="str">
        <f>VLOOKUP(25,'4×+M'!C27:L27,4)</f>
        <v>前田</v>
      </c>
      <c r="J299" s="150" t="str">
        <f>VLOOKUP(25,'4×+M'!C27:L27,5)</f>
        <v>伊瑳武</v>
      </c>
      <c r="K299" s="149">
        <f>VLOOKUP(25,'4×+M'!C27:L27,6)</f>
        <v>3</v>
      </c>
      <c r="L299" s="139"/>
      <c r="M299" s="15"/>
    </row>
    <row r="300" spans="1:13">
      <c r="A300" s="148" t="s">
        <v>26</v>
      </c>
      <c r="B300" s="149" t="str">
        <f>VLOOKUP(19,'4×+M'!C21:L21,4)</f>
        <v>内山</v>
      </c>
      <c r="C300" s="150" t="str">
        <f>VLOOKUP(19,'4×+M'!C21:L21,5)</f>
        <v>夢大</v>
      </c>
      <c r="D300" s="149">
        <f>VLOOKUP(19,'4×+M'!C21:L21,6)</f>
        <v>2</v>
      </c>
      <c r="E300" s="139"/>
      <c r="F300" s="15"/>
      <c r="G300" s="125"/>
      <c r="H300" s="148" t="s">
        <v>26</v>
      </c>
      <c r="I300" s="152" t="str">
        <f>VLOOKUP(26,'4×+M'!C28:L28,4)</f>
        <v>鈴木</v>
      </c>
      <c r="J300" s="150" t="str">
        <f>VLOOKUP(26,'4×+M'!C28:L28,5)</f>
        <v>漣史朗</v>
      </c>
      <c r="K300" s="149">
        <f>VLOOKUP(26,'4×+M'!C28:L28,6)</f>
        <v>3</v>
      </c>
      <c r="L300" s="139"/>
      <c r="M300" s="15"/>
    </row>
    <row r="301" spans="1:13">
      <c r="A301" s="148" t="s">
        <v>33</v>
      </c>
      <c r="B301" s="149" t="str">
        <f>VLOOKUP(20,'4×+M'!C22:L22,4)</f>
        <v>魚住</v>
      </c>
      <c r="C301" s="150" t="str">
        <f>VLOOKUP(20,'4×+M'!C22:L22,5)</f>
        <v>拓夢</v>
      </c>
      <c r="D301" s="149">
        <f>VLOOKUP(20,'4×+M'!C22:L22,6)</f>
        <v>2</v>
      </c>
      <c r="E301" s="139"/>
      <c r="F301" s="15"/>
      <c r="G301" s="125"/>
      <c r="H301" s="148" t="s">
        <v>33</v>
      </c>
      <c r="I301" s="152">
        <f>VLOOKUP(27,'4×+M'!C29:L29,4)</f>
        <v>0</v>
      </c>
      <c r="J301" s="150">
        <f>VLOOKUP(27,'4×+M'!C29:L29,5)</f>
        <v>0</v>
      </c>
      <c r="K301" s="149">
        <f>VLOOKUP(27,'4×+M'!C29:L29,6)</f>
        <v>0</v>
      </c>
      <c r="L301" s="139"/>
      <c r="M301" s="15"/>
    </row>
    <row r="302" spans="1:13" ht="13.5" thickBot="1">
      <c r="A302" s="136" t="s">
        <v>33</v>
      </c>
      <c r="B302" s="137">
        <f>VLOOKUP(21,'4×+M'!C23:L23,4)</f>
        <v>0</v>
      </c>
      <c r="C302" s="138">
        <f>VLOOKUP(21,'4×+M'!C23:L23,5)</f>
        <v>0</v>
      </c>
      <c r="D302" s="137">
        <f>VLOOKUP(21,'4×+M'!C23:L23,6)</f>
        <v>0</v>
      </c>
      <c r="E302" s="139"/>
      <c r="F302" s="15"/>
      <c r="G302" s="125"/>
      <c r="H302" s="136" t="s">
        <v>33</v>
      </c>
      <c r="I302" s="153">
        <f>VLOOKUP(28,'4×+M'!C30:L30,4)</f>
        <v>0</v>
      </c>
      <c r="J302" s="138">
        <f>VLOOKUP(28,'4×+M'!C30:L30,5)</f>
        <v>0</v>
      </c>
      <c r="K302" s="137">
        <f>VLOOKUP(28,'4×+M'!C30:L30,6)</f>
        <v>0</v>
      </c>
      <c r="L302" s="139"/>
      <c r="M302" s="15"/>
    </row>
    <row r="303" spans="1:13" ht="13.5" thickBot="1">
      <c r="A303" s="125"/>
      <c r="B303" s="125"/>
      <c r="C303" s="126"/>
      <c r="D303" s="125"/>
      <c r="E303" s="126"/>
      <c r="F303" s="126"/>
      <c r="G303" s="125"/>
      <c r="H303" s="125"/>
      <c r="I303" s="125"/>
      <c r="J303" s="126"/>
      <c r="K303" s="125"/>
      <c r="L303" s="126"/>
      <c r="M303" s="126"/>
    </row>
    <row r="304" spans="1:13" ht="13.5" thickBot="1">
      <c r="A304" s="129" t="s">
        <v>16</v>
      </c>
      <c r="B304" s="410" t="str">
        <f>VLOOKUP(29,'4×+M'!C31:L31,2)</f>
        <v>浜松湖南高校</v>
      </c>
      <c r="C304" s="411"/>
      <c r="D304" s="130" t="s">
        <v>21</v>
      </c>
      <c r="E304" s="155" t="str">
        <f>VLOOKUP(29,'4×+M'!C31:L31,9)</f>
        <v>山崎</v>
      </c>
      <c r="F304" s="156" t="str">
        <f>VLOOKUP(29,'4×+M'!C31:M31,10)</f>
        <v>武敏</v>
      </c>
      <c r="G304" s="125"/>
      <c r="H304" s="129" t="s">
        <v>16</v>
      </c>
      <c r="I304" s="410">
        <f>VLOOKUP(36,'4×+M'!C38:L38,2)</f>
        <v>0</v>
      </c>
      <c r="J304" s="411"/>
      <c r="K304" s="130" t="s">
        <v>21</v>
      </c>
      <c r="L304" s="155">
        <f>VLOOKUP(36,'4×+M'!C38:L38,9)</f>
        <v>0</v>
      </c>
      <c r="M304" s="156">
        <f>VLOOKUP(36,'4×+M'!C38:M38,10)</f>
        <v>0</v>
      </c>
    </row>
    <row r="305" spans="1:13">
      <c r="A305" s="140" t="s">
        <v>22</v>
      </c>
      <c r="B305" s="141" t="s">
        <v>17</v>
      </c>
      <c r="C305" s="142" t="s">
        <v>19</v>
      </c>
      <c r="D305" s="141" t="s">
        <v>23</v>
      </c>
      <c r="E305" s="134"/>
      <c r="F305" s="135"/>
      <c r="G305" s="125"/>
      <c r="H305" s="140" t="s">
        <v>22</v>
      </c>
      <c r="I305" s="141" t="s">
        <v>17</v>
      </c>
      <c r="J305" s="142" t="s">
        <v>19</v>
      </c>
      <c r="K305" s="141" t="s">
        <v>23</v>
      </c>
      <c r="L305" s="134"/>
      <c r="M305" s="135"/>
    </row>
    <row r="306" spans="1:13">
      <c r="A306" s="148" t="s">
        <v>39</v>
      </c>
      <c r="B306" s="149" t="str">
        <f>VLOOKUP(29,'4×+M'!C31:L31,4)</f>
        <v>内藤</v>
      </c>
      <c r="C306" s="150" t="str">
        <f>VLOOKUP(29,'4×+M'!C31:L31,5)</f>
        <v>洋平</v>
      </c>
      <c r="D306" s="149">
        <f>VLOOKUP(29,'4×+M'!C31:L31,6)</f>
        <v>2</v>
      </c>
      <c r="E306" s="139"/>
      <c r="F306" s="15"/>
      <c r="G306" s="125"/>
      <c r="H306" s="148" t="s">
        <v>39</v>
      </c>
      <c r="I306" s="149">
        <f>VLOOKUP(36,'4×+M'!C38:L38,4)</f>
        <v>0</v>
      </c>
      <c r="J306" s="150">
        <f>VLOOKUP(36,'4×+M'!C38:L38,5)</f>
        <v>0</v>
      </c>
      <c r="K306" s="149">
        <f>VLOOKUP(36,'4×+M'!C38:L38,6)</f>
        <v>0</v>
      </c>
      <c r="L306" s="139"/>
      <c r="M306" s="15"/>
    </row>
    <row r="307" spans="1:13">
      <c r="A307" s="148" t="s">
        <v>24</v>
      </c>
      <c r="B307" s="149" t="str">
        <f>VLOOKUP(30,'4×+M'!C32:L32,4)</f>
        <v>斎藤</v>
      </c>
      <c r="C307" s="150" t="str">
        <f>VLOOKUP(30,'4×+M'!C32:L32,5)</f>
        <v>大輔</v>
      </c>
      <c r="D307" s="149">
        <f>VLOOKUP(30,'4×+M'!C32:L32,6)</f>
        <v>2</v>
      </c>
      <c r="E307" s="139"/>
      <c r="F307" s="15"/>
      <c r="G307" s="125"/>
      <c r="H307" s="148" t="s">
        <v>24</v>
      </c>
      <c r="I307" s="149">
        <f>VLOOKUP(37,'4×+M'!C39:L39,4)</f>
        <v>0</v>
      </c>
      <c r="J307" s="150">
        <f>VLOOKUP(37,'4×+M'!C39:L39,5)</f>
        <v>0</v>
      </c>
      <c r="K307" s="149">
        <f>VLOOKUP(37,'4×+M'!C39:L39,6)</f>
        <v>0</v>
      </c>
      <c r="L307" s="139"/>
      <c r="M307" s="15"/>
    </row>
    <row r="308" spans="1:13">
      <c r="A308" s="148">
        <v>3</v>
      </c>
      <c r="B308" s="149" t="str">
        <f>VLOOKUP(31,'4×+M'!C33:L33,4)</f>
        <v>牧田</v>
      </c>
      <c r="C308" s="150" t="str">
        <f>VLOOKUP(31,'4×+M'!C33:L33,5)</f>
        <v>侑大</v>
      </c>
      <c r="D308" s="149">
        <f>VLOOKUP(31,'4×+M'!C33:L33,6)</f>
        <v>3</v>
      </c>
      <c r="E308" s="139"/>
      <c r="F308" s="15"/>
      <c r="G308" s="125"/>
      <c r="H308" s="148">
        <v>3</v>
      </c>
      <c r="I308" s="149">
        <f>VLOOKUP(38,'4×+M'!C40:L40,4)</f>
        <v>0</v>
      </c>
      <c r="J308" s="150">
        <f>VLOOKUP(38,'4×+M'!C40:L40,5)</f>
        <v>0</v>
      </c>
      <c r="K308" s="149">
        <f>VLOOKUP(38,'4×+M'!C40:L40,6)</f>
        <v>0</v>
      </c>
      <c r="L308" s="139"/>
      <c r="M308" s="15"/>
    </row>
    <row r="309" spans="1:13">
      <c r="A309" s="148">
        <v>2</v>
      </c>
      <c r="B309" s="149" t="str">
        <f>VLOOKUP(32,'4×+M'!C34:L34,4)</f>
        <v>石塚</v>
      </c>
      <c r="C309" s="150" t="str">
        <f>VLOOKUP(32,'4×+M'!C34:L34,5)</f>
        <v>健太</v>
      </c>
      <c r="D309" s="149">
        <f>VLOOKUP(32,'4×+M'!C34:L34,6)</f>
        <v>3</v>
      </c>
      <c r="E309" s="139"/>
      <c r="F309" s="15"/>
      <c r="G309" s="125"/>
      <c r="H309" s="148">
        <v>2</v>
      </c>
      <c r="I309" s="149">
        <f>VLOOKUP(39,'4×+M'!C41:L41,4)</f>
        <v>0</v>
      </c>
      <c r="J309" s="150">
        <f>VLOOKUP(39,'4×+M'!C41:L41,5)</f>
        <v>0</v>
      </c>
      <c r="K309" s="149">
        <f>VLOOKUP(39,'4×+M'!C41:L44,6)</f>
        <v>0</v>
      </c>
      <c r="L309" s="139"/>
      <c r="M309" s="15"/>
    </row>
    <row r="310" spans="1:13">
      <c r="A310" s="148" t="s">
        <v>26</v>
      </c>
      <c r="B310" s="149" t="str">
        <f>VLOOKUP(33,'4×+M'!C35:L35,4)</f>
        <v>山本</v>
      </c>
      <c r="C310" s="150" t="str">
        <f>VLOOKUP(33,'4×+M'!C35:L35,5)</f>
        <v>航也</v>
      </c>
      <c r="D310" s="149">
        <f>VLOOKUP(33,'4×+M'!C35:L35,6)</f>
        <v>3</v>
      </c>
      <c r="E310" s="139"/>
      <c r="F310" s="15"/>
      <c r="G310" s="125"/>
      <c r="H310" s="148" t="s">
        <v>26</v>
      </c>
      <c r="I310" s="152">
        <f>VLOOKUP(40,'4×+M'!C42:L42,4)</f>
        <v>0</v>
      </c>
      <c r="J310" s="150">
        <f>VLOOKUP(40,'4×+M'!C42:L42,5)</f>
        <v>0</v>
      </c>
      <c r="K310" s="149">
        <f>VLOOKUP(40,'4×+M'!C42:L42,6)</f>
        <v>0</v>
      </c>
      <c r="L310" s="139"/>
      <c r="M310" s="15"/>
    </row>
    <row r="311" spans="1:13">
      <c r="A311" s="148" t="s">
        <v>33</v>
      </c>
      <c r="B311" s="149" t="str">
        <f>VLOOKUP(34,'4×+M'!C36:L36,4)</f>
        <v>星山</v>
      </c>
      <c r="C311" s="150" t="str">
        <f>VLOOKUP(34,'4×+M'!C36:L36,5)</f>
        <v>将士</v>
      </c>
      <c r="D311" s="149">
        <f>VLOOKUP(34,'4×+M'!C36:L36,6)</f>
        <v>2</v>
      </c>
      <c r="E311" s="139"/>
      <c r="F311" s="15"/>
      <c r="G311" s="125"/>
      <c r="H311" s="148" t="s">
        <v>33</v>
      </c>
      <c r="I311" s="152">
        <f>VLOOKUP(41,'4×+M'!C43:L43,4)</f>
        <v>0</v>
      </c>
      <c r="J311" s="150">
        <f>VLOOKUP(41,'4×+M'!C43:L43,5)</f>
        <v>0</v>
      </c>
      <c r="K311" s="149">
        <f>VLOOKUP(41,'4×+M'!C43:L43,6)</f>
        <v>0</v>
      </c>
      <c r="L311" s="139"/>
      <c r="M311" s="15"/>
    </row>
    <row r="312" spans="1:13" ht="13.5" thickBot="1">
      <c r="A312" s="136" t="s">
        <v>33</v>
      </c>
      <c r="B312" s="137" t="str">
        <f>VLOOKUP(35,'4×+M'!C37:L37,4)</f>
        <v>内藤</v>
      </c>
      <c r="C312" s="138" t="str">
        <f>VLOOKUP(35,'4×+M'!C37:L37,5)</f>
        <v>康太</v>
      </c>
      <c r="D312" s="137">
        <f>VLOOKUP(35,'4×+M'!C37:L37,6)</f>
        <v>2</v>
      </c>
      <c r="E312" s="139"/>
      <c r="F312" s="15"/>
      <c r="G312" s="125"/>
      <c r="H312" s="136" t="s">
        <v>33</v>
      </c>
      <c r="I312" s="153">
        <f>VLOOKUP(42,'4×+M'!C44:L44,4)</f>
        <v>0</v>
      </c>
      <c r="J312" s="138">
        <f>VLOOKUP(42,'4×+M'!C44:L44,5)</f>
        <v>0</v>
      </c>
      <c r="K312" s="151">
        <f>VLOOKUP(42,'4×+M'!C44:L44,6)</f>
        <v>0</v>
      </c>
      <c r="L312" s="139"/>
      <c r="M312" s="15"/>
    </row>
    <row r="313" spans="1:13">
      <c r="A313" s="125"/>
      <c r="B313" s="125"/>
      <c r="C313" s="126"/>
      <c r="D313" s="125"/>
      <c r="E313" s="126"/>
      <c r="F313" s="126"/>
      <c r="G313" s="125"/>
      <c r="H313" s="125"/>
      <c r="I313" s="125"/>
      <c r="J313" s="126"/>
      <c r="K313" s="125"/>
      <c r="L313" s="126"/>
      <c r="M313" s="126"/>
    </row>
    <row r="314" spans="1:13" ht="13.5" hidden="1" thickBot="1">
      <c r="A314" s="129" t="s">
        <v>16</v>
      </c>
      <c r="B314" s="410">
        <f>VLOOKUP(43,'4×+M'!C45:L45,2)</f>
        <v>0</v>
      </c>
      <c r="C314" s="411"/>
      <c r="D314" s="130" t="s">
        <v>21</v>
      </c>
      <c r="E314" s="155">
        <f>VLOOKUP(43,'4×+M'!C45:L45,9)</f>
        <v>0</v>
      </c>
      <c r="F314" s="156">
        <f>VLOOKUP(43,'4×+M'!C45:M45,10)</f>
        <v>0</v>
      </c>
      <c r="G314" s="125"/>
      <c r="H314" s="129" t="s">
        <v>16</v>
      </c>
      <c r="I314" s="410">
        <f>VLOOKUP(50,'4×+M'!C52:L52,2)</f>
        <v>0</v>
      </c>
      <c r="J314" s="411"/>
      <c r="K314" s="130" t="s">
        <v>21</v>
      </c>
      <c r="L314" s="155">
        <f>VLOOKUP(50,'4×+M'!C52:L52,9)</f>
        <v>0</v>
      </c>
      <c r="M314" s="156">
        <f>VLOOKUP(50,'4×+M'!C52:M52,10)</f>
        <v>0</v>
      </c>
    </row>
    <row r="315" spans="1:13" hidden="1">
      <c r="A315" s="140" t="s">
        <v>22</v>
      </c>
      <c r="B315" s="141" t="s">
        <v>17</v>
      </c>
      <c r="C315" s="142" t="s">
        <v>19</v>
      </c>
      <c r="D315" s="141" t="s">
        <v>23</v>
      </c>
      <c r="E315" s="134"/>
      <c r="F315" s="135"/>
      <c r="G315" s="125"/>
      <c r="H315" s="140" t="s">
        <v>22</v>
      </c>
      <c r="I315" s="141" t="s">
        <v>17</v>
      </c>
      <c r="J315" s="142" t="s">
        <v>19</v>
      </c>
      <c r="K315" s="141" t="s">
        <v>23</v>
      </c>
      <c r="L315" s="134"/>
      <c r="M315" s="135"/>
    </row>
    <row r="316" spans="1:13" hidden="1">
      <c r="A316" s="148" t="s">
        <v>39</v>
      </c>
      <c r="B316" s="149">
        <f>VLOOKUP(43,'4×+M'!C45:L45,4)</f>
        <v>0</v>
      </c>
      <c r="C316" s="150">
        <f>VLOOKUP(43,'4×+M'!C45:L45,5)</f>
        <v>0</v>
      </c>
      <c r="D316" s="149">
        <f>VLOOKUP(43,'4×+M'!C45:L45,6)</f>
        <v>0</v>
      </c>
      <c r="E316" s="139"/>
      <c r="F316" s="15"/>
      <c r="G316" s="125"/>
      <c r="H316" s="148" t="s">
        <v>39</v>
      </c>
      <c r="I316" s="149">
        <f>VLOOKUP(50,'4×+M'!C52:L52,4)</f>
        <v>0</v>
      </c>
      <c r="J316" s="150">
        <f>VLOOKUP(50,'4×+M'!C52:L52,5)</f>
        <v>0</v>
      </c>
      <c r="K316" s="149">
        <f>VLOOKUP(50,'4×+M'!C52:L52,6)</f>
        <v>0</v>
      </c>
      <c r="L316" s="139"/>
      <c r="M316" s="15"/>
    </row>
    <row r="317" spans="1:13" hidden="1">
      <c r="A317" s="148" t="s">
        <v>24</v>
      </c>
      <c r="B317" s="149">
        <f>VLOOKUP(44,'4×+M'!C46:L46,4)</f>
        <v>0</v>
      </c>
      <c r="C317" s="150">
        <f>VLOOKUP(44,'4×+M'!C46:L46,5)</f>
        <v>0</v>
      </c>
      <c r="D317" s="149">
        <f>VLOOKUP(44,'4×+M'!C46:L46,6)</f>
        <v>0</v>
      </c>
      <c r="E317" s="139"/>
      <c r="F317" s="15"/>
      <c r="G317" s="125"/>
      <c r="H317" s="148" t="s">
        <v>24</v>
      </c>
      <c r="I317" s="149">
        <f>VLOOKUP(51,'4×+M'!C53:L53,4)</f>
        <v>0</v>
      </c>
      <c r="J317" s="150">
        <f>VLOOKUP(51,'4×+M'!C53:L53,5)</f>
        <v>0</v>
      </c>
      <c r="K317" s="149">
        <f>VLOOKUP(51,'4×+M'!C53:L53,6)</f>
        <v>0</v>
      </c>
      <c r="L317" s="139"/>
      <c r="M317" s="15"/>
    </row>
    <row r="318" spans="1:13" hidden="1">
      <c r="A318" s="148">
        <v>3</v>
      </c>
      <c r="B318" s="149">
        <f>VLOOKUP(45,'4×+M'!C47:L47,4)</f>
        <v>0</v>
      </c>
      <c r="C318" s="150">
        <f>VLOOKUP(45,'4×+M'!C47:L47,5)</f>
        <v>0</v>
      </c>
      <c r="D318" s="149">
        <f>VLOOKUP(45,'4×+M'!C47:L47,6)</f>
        <v>0</v>
      </c>
      <c r="E318" s="139"/>
      <c r="F318" s="15"/>
      <c r="G318" s="125"/>
      <c r="H318" s="148">
        <v>3</v>
      </c>
      <c r="I318" s="149">
        <f>VLOOKUP(52,'4×+M'!C54:L54,4)</f>
        <v>0</v>
      </c>
      <c r="J318" s="150">
        <f>VLOOKUP(52,'4×+M'!C54:L54,5)</f>
        <v>0</v>
      </c>
      <c r="K318" s="149">
        <f>VLOOKUP(52,'4×+M'!C54:L54,6)</f>
        <v>0</v>
      </c>
      <c r="L318" s="139"/>
      <c r="M318" s="15"/>
    </row>
    <row r="319" spans="1:13" hidden="1">
      <c r="A319" s="148">
        <v>2</v>
      </c>
      <c r="B319" s="149">
        <f>VLOOKUP(46,'4×+M'!C48:L48,4)</f>
        <v>0</v>
      </c>
      <c r="C319" s="150">
        <f>VLOOKUP(46,'4×+M'!C48:L48,5)</f>
        <v>0</v>
      </c>
      <c r="D319" s="149">
        <f>VLOOKUP(46,'4×+M'!C48:L48,6)</f>
        <v>0</v>
      </c>
      <c r="E319" s="139"/>
      <c r="F319" s="15"/>
      <c r="G319" s="125"/>
      <c r="H319" s="148">
        <v>2</v>
      </c>
      <c r="I319" s="149">
        <f>VLOOKUP(53,'4×+M'!C55:L55,4)</f>
        <v>0</v>
      </c>
      <c r="J319" s="150">
        <f>VLOOKUP(53,'4×+M'!C55:L55,5)</f>
        <v>0</v>
      </c>
      <c r="K319" s="149">
        <f>VLOOKUP(53,'4×+M'!C55:L55,6)</f>
        <v>0</v>
      </c>
      <c r="L319" s="139"/>
      <c r="M319" s="15"/>
    </row>
    <row r="320" spans="1:13" hidden="1">
      <c r="A320" s="148" t="s">
        <v>26</v>
      </c>
      <c r="B320" s="149">
        <f>VLOOKUP(47,'4×+M'!C49:L49,4)</f>
        <v>0</v>
      </c>
      <c r="C320" s="150">
        <f>VLOOKUP(47,'4×+M'!C49:L49,5)</f>
        <v>0</v>
      </c>
      <c r="D320" s="149">
        <f>VLOOKUP(47,'4×+M'!C49:L49,6)</f>
        <v>0</v>
      </c>
      <c r="E320" s="139"/>
      <c r="F320" s="15"/>
      <c r="G320" s="125"/>
      <c r="H320" s="148" t="s">
        <v>26</v>
      </c>
      <c r="I320" s="152">
        <f>VLOOKUP(54,'4×+M'!C56:L56,4)</f>
        <v>0</v>
      </c>
      <c r="J320" s="150">
        <f>VLOOKUP(54,'4×+M'!C56:L56,5)</f>
        <v>0</v>
      </c>
      <c r="K320" s="149">
        <f>VLOOKUP(54,'4×+M'!C56:L56,6)</f>
        <v>0</v>
      </c>
      <c r="L320" s="139"/>
      <c r="M320" s="15"/>
    </row>
    <row r="321" spans="1:13" hidden="1">
      <c r="A321" s="148" t="s">
        <v>33</v>
      </c>
      <c r="B321" s="149">
        <f>VLOOKUP(48,'4×+M'!C50:L50,4)</f>
        <v>0</v>
      </c>
      <c r="C321" s="150">
        <f>VLOOKUP(48,'4×+M'!C50:L50,5)</f>
        <v>0</v>
      </c>
      <c r="D321" s="149">
        <f>VLOOKUP(48,'4×+M'!C50:L50,6)</f>
        <v>0</v>
      </c>
      <c r="E321" s="139"/>
      <c r="F321" s="15"/>
      <c r="G321" s="125"/>
      <c r="H321" s="148" t="s">
        <v>33</v>
      </c>
      <c r="I321" s="149">
        <f>VLOOKUP(55,'4×+M'!C57:L57,4)</f>
        <v>0</v>
      </c>
      <c r="J321" s="150">
        <f>VLOOKUP(55,'4×+M'!C57:L57,5)</f>
        <v>0</v>
      </c>
      <c r="K321" s="149">
        <f>VLOOKUP(55,'4×+M'!C57:L57,6)</f>
        <v>0</v>
      </c>
      <c r="L321" s="139"/>
      <c r="M321" s="15"/>
    </row>
    <row r="322" spans="1:13" ht="13.5" hidden="1" thickBot="1">
      <c r="A322" s="136" t="s">
        <v>33</v>
      </c>
      <c r="B322" s="137">
        <f>VLOOKUP(49,'4×+M'!C51:L51,4)</f>
        <v>0</v>
      </c>
      <c r="C322" s="138">
        <f>VLOOKUP(49,'4×+M'!C51:L51,5)</f>
        <v>0</v>
      </c>
      <c r="D322" s="137">
        <f>VLOOKUP(49,'4×+M'!C51:L51,6)</f>
        <v>0</v>
      </c>
      <c r="E322" s="139"/>
      <c r="F322" s="15"/>
      <c r="G322" s="125"/>
      <c r="H322" s="136" t="s">
        <v>33</v>
      </c>
      <c r="I322" s="137">
        <f>VLOOKUP(56,'4×+M'!C58:L58,4)</f>
        <v>0</v>
      </c>
      <c r="J322" s="138">
        <f>VLOOKUP(56,'4×+M'!C58:L58,5)</f>
        <v>0</v>
      </c>
      <c r="K322" s="137">
        <f>VLOOKUP(56,'4×+M'!C58:L58,6)</f>
        <v>0</v>
      </c>
      <c r="L322" s="139"/>
      <c r="M322" s="15"/>
    </row>
    <row r="323" spans="1:13" ht="13.5" hidden="1" thickBot="1">
      <c r="A323" s="15"/>
      <c r="B323" s="15"/>
      <c r="C323" s="15"/>
      <c r="D323" s="15"/>
      <c r="E323" s="15"/>
      <c r="F323" s="15"/>
      <c r="G323" s="125"/>
      <c r="H323" s="15"/>
      <c r="I323" s="146"/>
      <c r="J323" s="15"/>
      <c r="K323" s="146"/>
      <c r="L323" s="15"/>
      <c r="M323" s="15"/>
    </row>
    <row r="324" spans="1:13" ht="13.5" hidden="1" thickBot="1">
      <c r="A324" s="129" t="s">
        <v>4</v>
      </c>
      <c r="B324" s="410">
        <f>VLOOKUP(57,'4×+M'!C59:L59,2)</f>
        <v>0</v>
      </c>
      <c r="C324" s="411"/>
      <c r="D324" s="130" t="s">
        <v>21</v>
      </c>
      <c r="E324" s="155">
        <f>VLOOKUP(57,'4×+M'!C59:L59,9)</f>
        <v>0</v>
      </c>
      <c r="F324" s="156">
        <f>VLOOKUP(57,'4×+M'!C59:M59,10)</f>
        <v>0</v>
      </c>
      <c r="G324" s="125"/>
      <c r="H324" s="129" t="s">
        <v>16</v>
      </c>
      <c r="I324" s="410">
        <f>VLOOKUP(64,'4×+M'!C66:L66,2)</f>
        <v>0</v>
      </c>
      <c r="J324" s="411"/>
      <c r="K324" s="130" t="s">
        <v>21</v>
      </c>
      <c r="L324" s="155">
        <f>VLOOKUP(64,'4×+M'!C66:L66,9)</f>
        <v>0</v>
      </c>
      <c r="M324" s="156">
        <f>VLOOKUP(64,'4×+M'!C66:M66,10)</f>
        <v>0</v>
      </c>
    </row>
    <row r="325" spans="1:13" hidden="1">
      <c r="A325" s="140" t="s">
        <v>22</v>
      </c>
      <c r="B325" s="141" t="s">
        <v>17</v>
      </c>
      <c r="C325" s="142" t="s">
        <v>19</v>
      </c>
      <c r="D325" s="141" t="s">
        <v>23</v>
      </c>
      <c r="E325" s="134"/>
      <c r="F325" s="135"/>
      <c r="G325" s="125"/>
      <c r="H325" s="140" t="s">
        <v>22</v>
      </c>
      <c r="I325" s="141" t="s">
        <v>17</v>
      </c>
      <c r="J325" s="142" t="s">
        <v>19</v>
      </c>
      <c r="K325" s="141" t="s">
        <v>23</v>
      </c>
      <c r="L325" s="134"/>
      <c r="M325" s="135"/>
    </row>
    <row r="326" spans="1:13" hidden="1">
      <c r="A326" s="148" t="s">
        <v>39</v>
      </c>
      <c r="B326" s="149">
        <f>VLOOKUP(57,'4×+M'!C59:L59,4)</f>
        <v>0</v>
      </c>
      <c r="C326" s="150">
        <f>VLOOKUP(57,'4×+M'!C59:L59,5)</f>
        <v>0</v>
      </c>
      <c r="D326" s="149">
        <f>VLOOKUP(57,'4×+M'!C59:L59,6)</f>
        <v>0</v>
      </c>
      <c r="E326" s="139"/>
      <c r="F326" s="15"/>
      <c r="G326" s="125"/>
      <c r="H326" s="148" t="s">
        <v>39</v>
      </c>
      <c r="I326" s="149">
        <f>VLOOKUP(64,'4×+M'!C66:L66,4)</f>
        <v>0</v>
      </c>
      <c r="J326" s="150">
        <f>VLOOKUP(64,'4×+M'!C66:L66,5)</f>
        <v>0</v>
      </c>
      <c r="K326" s="149">
        <f>VLOOKUP(64,'4×+M'!C66:L66,6)</f>
        <v>0</v>
      </c>
      <c r="L326" s="139"/>
      <c r="M326" s="15"/>
    </row>
    <row r="327" spans="1:13" hidden="1">
      <c r="A327" s="148" t="s">
        <v>24</v>
      </c>
      <c r="B327" s="149">
        <f>VLOOKUP(58,'4×+M'!C60:L60,4)</f>
        <v>0</v>
      </c>
      <c r="C327" s="150">
        <f>VLOOKUP(58,'4×+M'!C60:L60,5)</f>
        <v>0</v>
      </c>
      <c r="D327" s="149">
        <f>VLOOKUP(58,'4×+M'!C60:L60,6)</f>
        <v>0</v>
      </c>
      <c r="E327" s="139"/>
      <c r="F327" s="15"/>
      <c r="G327" s="125"/>
      <c r="H327" s="148" t="s">
        <v>24</v>
      </c>
      <c r="I327" s="149">
        <f>VLOOKUP(65,'4×+M'!C67:L67,4)</f>
        <v>0</v>
      </c>
      <c r="J327" s="150">
        <f>VLOOKUP(65,'4×+M'!C67:L67,5)</f>
        <v>0</v>
      </c>
      <c r="K327" s="149">
        <f>VLOOKUP(65,'4×+M'!C67:L67,6)</f>
        <v>0</v>
      </c>
      <c r="L327" s="139"/>
      <c r="M327" s="15"/>
    </row>
    <row r="328" spans="1:13" hidden="1">
      <c r="A328" s="148">
        <v>3</v>
      </c>
      <c r="B328" s="149">
        <f>VLOOKUP(59,'4×+M'!C61:L61,4)</f>
        <v>0</v>
      </c>
      <c r="C328" s="150">
        <f>VLOOKUP(59,'4×+M'!C61:L61,5)</f>
        <v>0</v>
      </c>
      <c r="D328" s="149">
        <f>VLOOKUP(59,'4×+M'!C61:L61,6)</f>
        <v>0</v>
      </c>
      <c r="E328" s="139"/>
      <c r="F328" s="15"/>
      <c r="G328" s="125"/>
      <c r="H328" s="148">
        <v>3</v>
      </c>
      <c r="I328" s="149">
        <f>VLOOKUP(66,'4×+M'!C68:L68,4)</f>
        <v>0</v>
      </c>
      <c r="J328" s="150">
        <f>VLOOKUP(66,'4×+M'!C68:L68,5)</f>
        <v>0</v>
      </c>
      <c r="K328" s="149">
        <f>VLOOKUP(66,'4×+M'!C68:L68,6)</f>
        <v>0</v>
      </c>
      <c r="L328" s="139"/>
      <c r="M328" s="15"/>
    </row>
    <row r="329" spans="1:13" hidden="1">
      <c r="A329" s="148">
        <v>2</v>
      </c>
      <c r="B329" s="149">
        <f>VLOOKUP(60,'4×+M'!C62:L62,4)</f>
        <v>0</v>
      </c>
      <c r="C329" s="150">
        <f>VLOOKUP(60,'4×+M'!C62:L62,5)</f>
        <v>0</v>
      </c>
      <c r="D329" s="149">
        <f>VLOOKUP(60,'4×+M'!C62:L62,6)</f>
        <v>0</v>
      </c>
      <c r="E329" s="139"/>
      <c r="F329" s="15"/>
      <c r="G329" s="125"/>
      <c r="H329" s="148">
        <v>2</v>
      </c>
      <c r="I329" s="149">
        <f>VLOOKUP(67,'4×+M'!C69:L69,4)</f>
        <v>0</v>
      </c>
      <c r="J329" s="150">
        <f>VLOOKUP(67,'4×+M'!C69:L69,5)</f>
        <v>0</v>
      </c>
      <c r="K329" s="149">
        <f>VLOOKUP(67,'4×+M'!C69:L69,6)</f>
        <v>0</v>
      </c>
      <c r="L329" s="139"/>
      <c r="M329" s="15"/>
    </row>
    <row r="330" spans="1:13" hidden="1">
      <c r="A330" s="148" t="s">
        <v>26</v>
      </c>
      <c r="B330" s="149">
        <f>VLOOKUP(61,'4×+M'!C63:L63,4)</f>
        <v>0</v>
      </c>
      <c r="C330" s="150">
        <f>VLOOKUP(61,'4×+M'!C63:L63,5)</f>
        <v>0</v>
      </c>
      <c r="D330" s="149">
        <f>VLOOKUP(61,'4×+M'!C63:L63,6)</f>
        <v>0</v>
      </c>
      <c r="E330" s="139"/>
      <c r="F330" s="15"/>
      <c r="G330" s="125"/>
      <c r="H330" s="148" t="s">
        <v>26</v>
      </c>
      <c r="I330" s="149">
        <f>VLOOKUP(68,'4×+M'!C70:L70,4)</f>
        <v>0</v>
      </c>
      <c r="J330" s="150">
        <f>VLOOKUP(68,'4×+M'!C70:L70,5)</f>
        <v>0</v>
      </c>
      <c r="K330" s="149">
        <f>VLOOKUP(68,'4×+M'!C70:L70,6)</f>
        <v>0</v>
      </c>
      <c r="L330" s="139"/>
      <c r="M330" s="15"/>
    </row>
    <row r="331" spans="1:13" hidden="1">
      <c r="A331" s="148" t="s">
        <v>33</v>
      </c>
      <c r="B331" s="149">
        <f>VLOOKUP(62,'4×+M'!C64:L64,4)</f>
        <v>0</v>
      </c>
      <c r="C331" s="150">
        <f>VLOOKUP(62,'4×+M'!C64:L64,5)</f>
        <v>0</v>
      </c>
      <c r="D331" s="149">
        <f>VLOOKUP(62,'4×+M'!C64:L64,6)</f>
        <v>0</v>
      </c>
      <c r="E331" s="139"/>
      <c r="F331" s="15"/>
      <c r="G331" s="125"/>
      <c r="H331" s="148" t="s">
        <v>33</v>
      </c>
      <c r="I331" s="149">
        <f>VLOOKUP(69,'4×+M'!C71:L71,4)</f>
        <v>0</v>
      </c>
      <c r="J331" s="150">
        <f>VLOOKUP(69,'4×+M'!C71:L71,5)</f>
        <v>0</v>
      </c>
      <c r="K331" s="149">
        <f>VLOOKUP(69,'4×+M'!C71:L71,6)</f>
        <v>0</v>
      </c>
      <c r="L331" s="139"/>
      <c r="M331" s="15"/>
    </row>
    <row r="332" spans="1:13" ht="13.5" hidden="1" thickBot="1">
      <c r="A332" s="136" t="s">
        <v>33</v>
      </c>
      <c r="B332" s="137">
        <f>VLOOKUP(63,'4×+M'!C65:L65,4)</f>
        <v>0</v>
      </c>
      <c r="C332" s="138">
        <f>VLOOKUP(63,'4×+M'!C65:L65,5)</f>
        <v>0</v>
      </c>
      <c r="D332" s="137">
        <f>VLOOKUP(63,'4×+M'!C65:L65,6)</f>
        <v>0</v>
      </c>
      <c r="E332" s="139"/>
      <c r="F332" s="15"/>
      <c r="G332" s="125"/>
      <c r="H332" s="136" t="s">
        <v>33</v>
      </c>
      <c r="I332" s="137">
        <f>VLOOKUP(70,'4×+M'!C72:L72,4)</f>
        <v>0</v>
      </c>
      <c r="J332" s="138">
        <f>VLOOKUP(70,'4×+M'!C72:L72,5)</f>
        <v>0</v>
      </c>
      <c r="K332" s="137">
        <f>VLOOKUP(70,'4×+M'!C72:L72,6)</f>
        <v>0</v>
      </c>
      <c r="L332" s="139"/>
      <c r="M332" s="15"/>
    </row>
    <row r="333" spans="1:13" ht="13.5" hidden="1" thickBot="1">
      <c r="A333" s="15"/>
      <c r="B333" s="15"/>
      <c r="C333" s="15"/>
      <c r="D333" s="15"/>
      <c r="E333" s="15"/>
      <c r="F333" s="15"/>
      <c r="G333" s="125"/>
      <c r="H333" s="15"/>
      <c r="I333" s="146"/>
      <c r="J333" s="15"/>
      <c r="K333" s="146"/>
      <c r="L333" s="15"/>
      <c r="M333" s="15"/>
    </row>
    <row r="334" spans="1:13" ht="13.5" hidden="1" thickBot="1">
      <c r="A334" s="129" t="s">
        <v>4</v>
      </c>
      <c r="B334" s="410">
        <f>VLOOKUP(71,'4×+M'!C73:L73,2)</f>
        <v>0</v>
      </c>
      <c r="C334" s="411"/>
      <c r="D334" s="130" t="s">
        <v>21</v>
      </c>
      <c r="E334" s="155">
        <f>VLOOKUP(71,'4×+M'!C73:L73,9)</f>
        <v>0</v>
      </c>
      <c r="F334" s="156">
        <f>VLOOKUP(71,'4×+M'!C73:M73,10)</f>
        <v>0</v>
      </c>
      <c r="G334" s="125"/>
      <c r="H334" s="129" t="s">
        <v>16</v>
      </c>
      <c r="I334" s="410">
        <f>VLOOKUP(78,'4×+M'!C80:L80,2)</f>
        <v>0</v>
      </c>
      <c r="J334" s="411"/>
      <c r="K334" s="130" t="s">
        <v>21</v>
      </c>
      <c r="L334" s="155">
        <f>VLOOKUP(78,'4×+M'!C80:L80,9)</f>
        <v>0</v>
      </c>
      <c r="M334" s="156">
        <f>VLOOKUP(78,'4×+M'!C80:M80,10)</f>
        <v>0</v>
      </c>
    </row>
    <row r="335" spans="1:13" hidden="1">
      <c r="A335" s="140" t="s">
        <v>22</v>
      </c>
      <c r="B335" s="141" t="s">
        <v>17</v>
      </c>
      <c r="C335" s="142" t="s">
        <v>19</v>
      </c>
      <c r="D335" s="141" t="s">
        <v>23</v>
      </c>
      <c r="E335" s="134"/>
      <c r="F335" s="135"/>
      <c r="G335" s="125"/>
      <c r="H335" s="140" t="s">
        <v>22</v>
      </c>
      <c r="I335" s="141" t="s">
        <v>17</v>
      </c>
      <c r="J335" s="142" t="s">
        <v>19</v>
      </c>
      <c r="K335" s="141" t="s">
        <v>23</v>
      </c>
      <c r="L335" s="134"/>
      <c r="M335" s="135"/>
    </row>
    <row r="336" spans="1:13" hidden="1">
      <c r="A336" s="148" t="s">
        <v>39</v>
      </c>
      <c r="B336" s="149">
        <f>VLOOKUP(71,'4×+M'!C73:L73,4)</f>
        <v>0</v>
      </c>
      <c r="C336" s="150">
        <f>VLOOKUP(71,'4×+M'!C73:L73,5)</f>
        <v>0</v>
      </c>
      <c r="D336" s="149">
        <f>VLOOKUP(71,'4×+M'!C73:L73,6)</f>
        <v>0</v>
      </c>
      <c r="E336" s="139"/>
      <c r="F336" s="15"/>
      <c r="G336" s="125"/>
      <c r="H336" s="148" t="s">
        <v>39</v>
      </c>
      <c r="I336" s="149">
        <f>VLOOKUP(78,'4×+M'!C80:L80,4)</f>
        <v>0</v>
      </c>
      <c r="J336" s="150">
        <f>VLOOKUP(78,'4×+M'!C80:L80,5)</f>
        <v>0</v>
      </c>
      <c r="K336" s="149">
        <f>VLOOKUP(78,'4×+M'!C80:L80,6)</f>
        <v>0</v>
      </c>
      <c r="L336" s="139"/>
      <c r="M336" s="15"/>
    </row>
    <row r="337" spans="1:13" hidden="1">
      <c r="A337" s="148" t="s">
        <v>24</v>
      </c>
      <c r="B337" s="149">
        <f>VLOOKUP(72,'4×+M'!C74:L74,4)</f>
        <v>0</v>
      </c>
      <c r="C337" s="150">
        <f>VLOOKUP(72,'4×+M'!C74:L74,5)</f>
        <v>0</v>
      </c>
      <c r="D337" s="149">
        <f>VLOOKUP(72,'4×+M'!C74:L74,6)</f>
        <v>0</v>
      </c>
      <c r="E337" s="139"/>
      <c r="F337" s="15"/>
      <c r="G337" s="125"/>
      <c r="H337" s="148" t="s">
        <v>24</v>
      </c>
      <c r="I337" s="149">
        <f>VLOOKUP(79,'4×+M'!C81:L81,4)</f>
        <v>0</v>
      </c>
      <c r="J337" s="150">
        <f>VLOOKUP(79,'4×+M'!C81:L81,5)</f>
        <v>0</v>
      </c>
      <c r="K337" s="149">
        <f>VLOOKUP(79,'4×+M'!C81:L81,6)</f>
        <v>0</v>
      </c>
      <c r="L337" s="139"/>
      <c r="M337" s="15"/>
    </row>
    <row r="338" spans="1:13" hidden="1">
      <c r="A338" s="148">
        <v>3</v>
      </c>
      <c r="B338" s="149">
        <f>VLOOKUP(73,'4×+M'!C75:L75,4)</f>
        <v>0</v>
      </c>
      <c r="C338" s="150">
        <f>VLOOKUP(73,'4×+M'!C75:L75,5)</f>
        <v>0</v>
      </c>
      <c r="D338" s="149">
        <f>VLOOKUP(73,'4×+M'!C75:L75,6)</f>
        <v>0</v>
      </c>
      <c r="E338" s="139"/>
      <c r="F338" s="15"/>
      <c r="G338" s="125"/>
      <c r="H338" s="148">
        <v>3</v>
      </c>
      <c r="I338" s="149">
        <f>VLOOKUP(80,'4×+M'!C82:L82,4)</f>
        <v>0</v>
      </c>
      <c r="J338" s="150">
        <f>VLOOKUP(80,'4×+M'!C82:L82,5)</f>
        <v>0</v>
      </c>
      <c r="K338" s="149">
        <f>VLOOKUP(80,'4×+M'!C82:L82,6)</f>
        <v>0</v>
      </c>
      <c r="L338" s="139"/>
      <c r="M338" s="15"/>
    </row>
    <row r="339" spans="1:13" hidden="1">
      <c r="A339" s="148">
        <v>2</v>
      </c>
      <c r="B339" s="149">
        <f>VLOOKUP(74,'4×+M'!C76:L76,4)</f>
        <v>0</v>
      </c>
      <c r="C339" s="150">
        <f>VLOOKUP(74,'4×+M'!C76:L76,5)</f>
        <v>0</v>
      </c>
      <c r="D339" s="149">
        <f>VLOOKUP(74,'4×+M'!C76:L76,6)</f>
        <v>0</v>
      </c>
      <c r="E339" s="139"/>
      <c r="F339" s="15"/>
      <c r="G339" s="125"/>
      <c r="H339" s="148">
        <v>2</v>
      </c>
      <c r="I339" s="149">
        <f>VLOOKUP(81,'4×+M'!C83:L83,4)</f>
        <v>0</v>
      </c>
      <c r="J339" s="150">
        <f>VLOOKUP(81,'4×+M'!C83:L83,5)</f>
        <v>0</v>
      </c>
      <c r="K339" s="149">
        <f>VLOOKUP(81,'4×+M'!C83:L83,6)</f>
        <v>0</v>
      </c>
      <c r="L339" s="139"/>
      <c r="M339" s="15"/>
    </row>
    <row r="340" spans="1:13" hidden="1">
      <c r="A340" s="148" t="s">
        <v>26</v>
      </c>
      <c r="B340" s="149">
        <f>VLOOKUP(75,'4×+M'!C77:L77,4)</f>
        <v>0</v>
      </c>
      <c r="C340" s="150">
        <f>VLOOKUP(75,'4×+M'!C77:L77,5)</f>
        <v>0</v>
      </c>
      <c r="D340" s="149">
        <f>VLOOKUP(75,'4×+M'!C77:L77,6)</f>
        <v>0</v>
      </c>
      <c r="E340" s="139"/>
      <c r="F340" s="15"/>
      <c r="G340" s="125"/>
      <c r="H340" s="148" t="s">
        <v>26</v>
      </c>
      <c r="I340" s="149">
        <f>VLOOKUP(82,'4×+M'!C84:L84,4)</f>
        <v>0</v>
      </c>
      <c r="J340" s="150">
        <f>VLOOKUP(82,'4×+M'!C84:L84,5)</f>
        <v>0</v>
      </c>
      <c r="K340" s="149">
        <f>VLOOKUP(82,'4×+M'!C84:L84,6)</f>
        <v>0</v>
      </c>
      <c r="L340" s="139"/>
      <c r="M340" s="15"/>
    </row>
    <row r="341" spans="1:13" hidden="1">
      <c r="A341" s="148" t="s">
        <v>33</v>
      </c>
      <c r="B341" s="149">
        <f>VLOOKUP(76,'4×+M'!C78:L78,4)</f>
        <v>0</v>
      </c>
      <c r="C341" s="150">
        <f>VLOOKUP(76,'4×+M'!C78:L78,5)</f>
        <v>0</v>
      </c>
      <c r="D341" s="149">
        <f>VLOOKUP(76,'4×+M'!C78:L78,6)</f>
        <v>0</v>
      </c>
      <c r="E341" s="139"/>
      <c r="F341" s="15"/>
      <c r="G341" s="125"/>
      <c r="H341" s="148" t="s">
        <v>33</v>
      </c>
      <c r="I341" s="149">
        <f>VLOOKUP(83,'4×+M'!C85:L85,4)</f>
        <v>0</v>
      </c>
      <c r="J341" s="150">
        <f>VLOOKUP(83,'4×+M'!C85:L85,5)</f>
        <v>0</v>
      </c>
      <c r="K341" s="149">
        <f>VLOOKUP(83,'4×+M'!C85:L85,6)</f>
        <v>0</v>
      </c>
      <c r="L341" s="139"/>
      <c r="M341" s="15"/>
    </row>
    <row r="342" spans="1:13" ht="13.5" hidden="1" thickBot="1">
      <c r="A342" s="136" t="s">
        <v>33</v>
      </c>
      <c r="B342" s="137">
        <f>VLOOKUP(77,'4×+M'!C79:L79,4)</f>
        <v>0</v>
      </c>
      <c r="C342" s="138">
        <f>VLOOKUP(77,'4×+M'!C79:L79,5)</f>
        <v>0</v>
      </c>
      <c r="D342" s="137">
        <f>VLOOKUP(77,'4×+M'!C79:L79,6)</f>
        <v>0</v>
      </c>
      <c r="E342" s="139"/>
      <c r="F342" s="15"/>
      <c r="G342" s="125"/>
      <c r="H342" s="136" t="s">
        <v>33</v>
      </c>
      <c r="I342" s="137">
        <f>VLOOKUP(84,'4×+M'!C86:L86,4)</f>
        <v>0</v>
      </c>
      <c r="J342" s="138">
        <f>VLOOKUP(84,'4×+M'!C86:L86,5)</f>
        <v>0</v>
      </c>
      <c r="K342" s="137">
        <f>VLOOKUP(84,'4×+M'!C86:L86,6)</f>
        <v>0</v>
      </c>
      <c r="L342" s="139"/>
      <c r="M342" s="15"/>
    </row>
    <row r="343" spans="1:13" ht="13.5" hidden="1" thickBot="1">
      <c r="A343" s="15"/>
      <c r="B343" s="15"/>
      <c r="C343" s="15"/>
      <c r="D343" s="15"/>
      <c r="E343" s="15"/>
      <c r="F343" s="15"/>
      <c r="G343" s="125"/>
      <c r="H343" s="15"/>
      <c r="I343" s="146"/>
      <c r="J343" s="15"/>
      <c r="K343" s="146"/>
      <c r="L343" s="15"/>
      <c r="M343" s="15"/>
    </row>
    <row r="344" spans="1:13" ht="13.5" hidden="1" thickBot="1">
      <c r="A344" s="129" t="s">
        <v>4</v>
      </c>
      <c r="B344" s="410">
        <f>VLOOKUP(85,'4×+M'!C87:L87,2)</f>
        <v>0</v>
      </c>
      <c r="C344" s="411"/>
      <c r="D344" s="130" t="s">
        <v>21</v>
      </c>
      <c r="E344" s="155">
        <f>VLOOKUP(85,'4×+M'!C87:L87,9)</f>
        <v>0</v>
      </c>
      <c r="F344" s="156">
        <f>VLOOKUP(85,'4×+M'!C87:M87,10)</f>
        <v>0</v>
      </c>
      <c r="G344" s="125"/>
      <c r="H344" s="129" t="s">
        <v>16</v>
      </c>
      <c r="I344" s="410">
        <f>VLOOKUP(92,'4×+M'!C94:L94,2)</f>
        <v>0</v>
      </c>
      <c r="J344" s="411"/>
      <c r="K344" s="130" t="s">
        <v>21</v>
      </c>
      <c r="L344" s="155">
        <f>VLOOKUP(92,'4×+M'!C94:L94,9)</f>
        <v>0</v>
      </c>
      <c r="M344" s="156">
        <f>VLOOKUP(92,'4×+M'!C94:M94,10)</f>
        <v>0</v>
      </c>
    </row>
    <row r="345" spans="1:13" hidden="1">
      <c r="A345" s="140" t="s">
        <v>22</v>
      </c>
      <c r="B345" s="141" t="s">
        <v>17</v>
      </c>
      <c r="C345" s="142" t="s">
        <v>19</v>
      </c>
      <c r="D345" s="141" t="s">
        <v>23</v>
      </c>
      <c r="E345" s="134"/>
      <c r="F345" s="135"/>
      <c r="G345" s="125"/>
      <c r="H345" s="140" t="s">
        <v>22</v>
      </c>
      <c r="I345" s="141" t="s">
        <v>17</v>
      </c>
      <c r="J345" s="142" t="s">
        <v>19</v>
      </c>
      <c r="K345" s="141" t="s">
        <v>23</v>
      </c>
      <c r="L345" s="134"/>
      <c r="M345" s="135"/>
    </row>
    <row r="346" spans="1:13" hidden="1">
      <c r="A346" s="148" t="s">
        <v>39</v>
      </c>
      <c r="B346" s="149">
        <f>VLOOKUP(85,'4×+M'!C87:L87,4)</f>
        <v>0</v>
      </c>
      <c r="C346" s="150">
        <f>VLOOKUP(85,'4×+M'!C87:L87,5)</f>
        <v>0</v>
      </c>
      <c r="D346" s="149">
        <f>VLOOKUP(85,'4×+M'!C87:L87,6)</f>
        <v>0</v>
      </c>
      <c r="E346" s="139"/>
      <c r="F346" s="15"/>
      <c r="G346" s="125"/>
      <c r="H346" s="148" t="s">
        <v>39</v>
      </c>
      <c r="I346" s="149">
        <f>VLOOKUP(92,'4×+M'!C94:L94,4)</f>
        <v>0</v>
      </c>
      <c r="J346" s="150">
        <f>VLOOKUP(92,'4×+M'!C94:L94,5)</f>
        <v>0</v>
      </c>
      <c r="K346" s="149">
        <f>VLOOKUP(92,'4×+M'!C94:L94,6)</f>
        <v>0</v>
      </c>
      <c r="L346" s="139"/>
      <c r="M346" s="15"/>
    </row>
    <row r="347" spans="1:13" hidden="1">
      <c r="A347" s="148" t="s">
        <v>24</v>
      </c>
      <c r="B347" s="149">
        <f>VLOOKUP(86,'4×+M'!C88:L88,4)</f>
        <v>0</v>
      </c>
      <c r="C347" s="150">
        <f>VLOOKUP(86,'4×+M'!C88:L88,5)</f>
        <v>0</v>
      </c>
      <c r="D347" s="149">
        <f>VLOOKUP(86,'4×+M'!C88:L88,6)</f>
        <v>0</v>
      </c>
      <c r="E347" s="139"/>
      <c r="F347" s="15"/>
      <c r="G347" s="125"/>
      <c r="H347" s="148" t="s">
        <v>24</v>
      </c>
      <c r="I347" s="149">
        <f>VLOOKUP(93,'4×+M'!C95:L95,4)</f>
        <v>0</v>
      </c>
      <c r="J347" s="150">
        <f>VLOOKUP(93,'4×+M'!C95:L95,5)</f>
        <v>0</v>
      </c>
      <c r="K347" s="149">
        <f>VLOOKUP(93,'4×+M'!C95:L95,6)</f>
        <v>0</v>
      </c>
      <c r="L347" s="139"/>
      <c r="M347" s="15"/>
    </row>
    <row r="348" spans="1:13" hidden="1">
      <c r="A348" s="148">
        <v>3</v>
      </c>
      <c r="B348" s="149">
        <f>VLOOKUP(87,'4×+M'!C89:L89,4)</f>
        <v>0</v>
      </c>
      <c r="C348" s="150">
        <f>VLOOKUP(87,'4×+M'!C89:L89,5)</f>
        <v>0</v>
      </c>
      <c r="D348" s="149">
        <f>VLOOKUP(87,'4×+M'!C89:L89,6)</f>
        <v>0</v>
      </c>
      <c r="E348" s="139"/>
      <c r="F348" s="15"/>
      <c r="G348" s="125"/>
      <c r="H348" s="148">
        <v>3</v>
      </c>
      <c r="I348" s="149">
        <f>VLOOKUP(94,'4×+M'!C96:L96,4)</f>
        <v>0</v>
      </c>
      <c r="J348" s="150">
        <f>VLOOKUP(94,'4×+M'!C96:L96,5)</f>
        <v>0</v>
      </c>
      <c r="K348" s="149">
        <f>VLOOKUP(94,'4×+M'!C96:L96,6)</f>
        <v>0</v>
      </c>
      <c r="L348" s="139"/>
      <c r="M348" s="15"/>
    </row>
    <row r="349" spans="1:13" hidden="1">
      <c r="A349" s="148">
        <v>2</v>
      </c>
      <c r="B349" s="149">
        <f>VLOOKUP(88,'4×+M'!C90:L90,4)</f>
        <v>0</v>
      </c>
      <c r="C349" s="150">
        <f>VLOOKUP(88,'4×+M'!C90:L90,5)</f>
        <v>0</v>
      </c>
      <c r="D349" s="149">
        <f>VLOOKUP(88,'4×+M'!C90:L90,6)</f>
        <v>0</v>
      </c>
      <c r="E349" s="139"/>
      <c r="F349" s="15"/>
      <c r="G349" s="125"/>
      <c r="H349" s="148">
        <v>2</v>
      </c>
      <c r="I349" s="149">
        <f>VLOOKUP(95,'4×+M'!C97:L97,4)</f>
        <v>0</v>
      </c>
      <c r="J349" s="150">
        <f>VLOOKUP(95,'4×+M'!C97:L97,5)</f>
        <v>0</v>
      </c>
      <c r="K349" s="149">
        <f>VLOOKUP(95,'4×+M'!C97:L97,6)</f>
        <v>0</v>
      </c>
      <c r="L349" s="139"/>
      <c r="M349" s="15"/>
    </row>
    <row r="350" spans="1:13" hidden="1">
      <c r="A350" s="148" t="s">
        <v>26</v>
      </c>
      <c r="B350" s="149">
        <f>VLOOKUP(89,'4×+M'!C91:L91,4)</f>
        <v>0</v>
      </c>
      <c r="C350" s="150">
        <f>VLOOKUP(89,'4×+M'!C91:L91,5)</f>
        <v>0</v>
      </c>
      <c r="D350" s="149">
        <f>VLOOKUP(89,'4×+M'!C91:L91,6)</f>
        <v>0</v>
      </c>
      <c r="E350" s="139"/>
      <c r="F350" s="15"/>
      <c r="G350" s="125"/>
      <c r="H350" s="148" t="s">
        <v>26</v>
      </c>
      <c r="I350" s="149">
        <f>VLOOKUP(96,'4×+M'!C98:L98,4)</f>
        <v>0</v>
      </c>
      <c r="J350" s="150">
        <f>VLOOKUP(96,'4×+M'!C98:L98,5)</f>
        <v>0</v>
      </c>
      <c r="K350" s="149">
        <f>VLOOKUP(96,'4×+M'!C98:L98,6)</f>
        <v>0</v>
      </c>
      <c r="L350" s="139"/>
      <c r="M350" s="15"/>
    </row>
    <row r="351" spans="1:13" hidden="1">
      <c r="A351" s="148" t="s">
        <v>33</v>
      </c>
      <c r="B351" s="149">
        <f>VLOOKUP(90,'4×+M'!C92:L92,4)</f>
        <v>0</v>
      </c>
      <c r="C351" s="150">
        <f>VLOOKUP(90,'4×+M'!C92:L92,5)</f>
        <v>0</v>
      </c>
      <c r="D351" s="149">
        <f>VLOOKUP(90,'4×+M'!C92:L92,6)</f>
        <v>0</v>
      </c>
      <c r="E351" s="139"/>
      <c r="F351" s="15"/>
      <c r="G351" s="125"/>
      <c r="H351" s="148" t="s">
        <v>33</v>
      </c>
      <c r="I351" s="149">
        <f>VLOOKUP(97,'4×+M'!C99:L99,4)</f>
        <v>0</v>
      </c>
      <c r="J351" s="150">
        <f>VLOOKUP(97,'4×+M'!C99:L99,5)</f>
        <v>0</v>
      </c>
      <c r="K351" s="149">
        <f>VLOOKUP(97,'4×+M'!C99:L99,6)</f>
        <v>0</v>
      </c>
      <c r="L351" s="139"/>
      <c r="M351" s="15"/>
    </row>
    <row r="352" spans="1:13" ht="13.5" hidden="1" thickBot="1">
      <c r="A352" s="136" t="s">
        <v>33</v>
      </c>
      <c r="B352" s="137">
        <f>VLOOKUP(91,'4×+M'!C93:L93,4)</f>
        <v>0</v>
      </c>
      <c r="C352" s="138">
        <f>VLOOKUP(91,'4×+M'!C93:L93,5)</f>
        <v>0</v>
      </c>
      <c r="D352" s="137">
        <f>VLOOKUP(91,'4×+M'!C93:L93,6)</f>
        <v>0</v>
      </c>
      <c r="E352" s="139"/>
      <c r="F352" s="15"/>
      <c r="G352" s="125"/>
      <c r="H352" s="136" t="s">
        <v>33</v>
      </c>
      <c r="I352" s="137">
        <f>VLOOKUP(98,'4×+M'!C100:L100,4)</f>
        <v>0</v>
      </c>
      <c r="J352" s="138">
        <f>VLOOKUP(98,'4×+M'!C100:L100,5)</f>
        <v>0</v>
      </c>
      <c r="K352" s="137">
        <f>VLOOKUP(98,'4×+M'!C100:L100,6)</f>
        <v>0</v>
      </c>
      <c r="L352" s="139"/>
      <c r="M352" s="15"/>
    </row>
    <row r="353" spans="1:13" ht="13.5" hidden="1" thickBot="1">
      <c r="A353" s="154"/>
      <c r="B353" s="154"/>
      <c r="C353" s="154"/>
      <c r="D353" s="154"/>
      <c r="E353" s="15"/>
      <c r="F353" s="15"/>
      <c r="G353" s="125"/>
      <c r="H353" s="15"/>
      <c r="I353" s="15"/>
      <c r="J353" s="15"/>
      <c r="K353" s="15"/>
      <c r="L353" s="15"/>
      <c r="M353" s="15"/>
    </row>
    <row r="354" spans="1:13" ht="13.5" hidden="1" thickBot="1">
      <c r="A354" s="129" t="s">
        <v>4</v>
      </c>
      <c r="B354" s="410">
        <f>VLOOKUP(99,'4×+M'!C101:L101,2)</f>
        <v>0</v>
      </c>
      <c r="C354" s="411"/>
      <c r="D354" s="130" t="s">
        <v>21</v>
      </c>
      <c r="E354" s="155">
        <f>VLOOKUP(99,'4×+M'!C101:L101,9)</f>
        <v>0</v>
      </c>
      <c r="F354" s="156">
        <f>VLOOKUP(99,'4×+M'!C101:M101,10)</f>
        <v>0</v>
      </c>
      <c r="G354" s="125"/>
      <c r="H354" s="129" t="s">
        <v>16</v>
      </c>
      <c r="I354" s="410">
        <f>VLOOKUP(106,'4×+M'!C108:L108,2)</f>
        <v>0</v>
      </c>
      <c r="J354" s="411"/>
      <c r="K354" s="130" t="s">
        <v>21</v>
      </c>
      <c r="L354" s="155">
        <f>VLOOKUP(106,'4×+M'!C108:L108,9)</f>
        <v>0</v>
      </c>
      <c r="M354" s="156">
        <f>VLOOKUP(106,'4×+M'!C108:M108,10)</f>
        <v>0</v>
      </c>
    </row>
    <row r="355" spans="1:13" hidden="1">
      <c r="A355" s="140" t="s">
        <v>22</v>
      </c>
      <c r="B355" s="141" t="s">
        <v>17</v>
      </c>
      <c r="C355" s="142" t="s">
        <v>19</v>
      </c>
      <c r="D355" s="141" t="s">
        <v>23</v>
      </c>
      <c r="E355" s="134"/>
      <c r="F355" s="135"/>
      <c r="G355" s="125"/>
      <c r="H355" s="140" t="s">
        <v>22</v>
      </c>
      <c r="I355" s="141" t="s">
        <v>17</v>
      </c>
      <c r="J355" s="142" t="s">
        <v>19</v>
      </c>
      <c r="K355" s="141" t="s">
        <v>23</v>
      </c>
      <c r="L355" s="134"/>
      <c r="M355" s="135"/>
    </row>
    <row r="356" spans="1:13" hidden="1">
      <c r="A356" s="148" t="s">
        <v>107</v>
      </c>
      <c r="B356" s="149">
        <f>VLOOKUP(99,'4×+M'!C101:L101,4)</f>
        <v>0</v>
      </c>
      <c r="C356" s="150">
        <f>VLOOKUP(99,'4×+M'!C101:L101,5)</f>
        <v>0</v>
      </c>
      <c r="D356" s="149">
        <f>VLOOKUP(99,'4×+M'!C101:L101,6)</f>
        <v>0</v>
      </c>
      <c r="E356" s="139"/>
      <c r="F356" s="15"/>
      <c r="G356" s="125"/>
      <c r="H356" s="148" t="s">
        <v>107</v>
      </c>
      <c r="I356" s="149">
        <f>VLOOKUP(106,'4×+M'!C108:L108,4)</f>
        <v>0</v>
      </c>
      <c r="J356" s="150">
        <f>VLOOKUP(106,'4×+M'!C108:L108,5)</f>
        <v>0</v>
      </c>
      <c r="K356" s="149">
        <f>VLOOKUP(106,'4×+M'!C108:L108,6)</f>
        <v>0</v>
      </c>
      <c r="L356" s="139"/>
      <c r="M356" s="15"/>
    </row>
    <row r="357" spans="1:13" hidden="1">
      <c r="A357" s="148" t="s">
        <v>24</v>
      </c>
      <c r="B357" s="149">
        <f>VLOOKUP(100,'4×+M'!C102:L102,4)</f>
        <v>0</v>
      </c>
      <c r="C357" s="150">
        <f>VLOOKUP(100,'4×+M'!C102:L102,5)</f>
        <v>0</v>
      </c>
      <c r="D357" s="149">
        <f>VLOOKUP(100,'4×+M'!C102:L102,6)</f>
        <v>0</v>
      </c>
      <c r="E357" s="139"/>
      <c r="F357" s="15"/>
      <c r="G357" s="125"/>
      <c r="H357" s="148" t="s">
        <v>24</v>
      </c>
      <c r="I357" s="149">
        <f>VLOOKUP(107,'4×+M'!C109:L109,4)</f>
        <v>0</v>
      </c>
      <c r="J357" s="150">
        <f>VLOOKUP(107,'4×+M'!C109:L109,5)</f>
        <v>0</v>
      </c>
      <c r="K357" s="149">
        <f>VLOOKUP(107,'4×+M'!C109:L109,6)</f>
        <v>0</v>
      </c>
      <c r="L357" s="139"/>
      <c r="M357" s="15"/>
    </row>
    <row r="358" spans="1:13" hidden="1">
      <c r="A358" s="148">
        <v>3</v>
      </c>
      <c r="B358" s="149">
        <f>VLOOKUP(101,'4×+M'!C103:L103,4)</f>
        <v>0</v>
      </c>
      <c r="C358" s="150">
        <f>VLOOKUP(101,'4×+M'!C103:L103,5)</f>
        <v>0</v>
      </c>
      <c r="D358" s="149">
        <f>VLOOKUP(101,'4×+M'!C103:L103,6)</f>
        <v>0</v>
      </c>
      <c r="E358" s="139"/>
      <c r="F358" s="15"/>
      <c r="G358" s="125"/>
      <c r="H358" s="148">
        <v>3</v>
      </c>
      <c r="I358" s="149">
        <f>VLOOKUP(108,'4×+M'!C110:L110,4)</f>
        <v>0</v>
      </c>
      <c r="J358" s="150">
        <f>VLOOKUP(108,'4×+M'!C110:L110,5)</f>
        <v>0</v>
      </c>
      <c r="K358" s="149">
        <f>VLOOKUP(108,'4×+M'!C110:L110,6)</f>
        <v>0</v>
      </c>
      <c r="L358" s="139"/>
      <c r="M358" s="15"/>
    </row>
    <row r="359" spans="1:13" hidden="1">
      <c r="A359" s="148">
        <v>2</v>
      </c>
      <c r="B359" s="149">
        <f>VLOOKUP(102,'4×+M'!C104:L104,4)</f>
        <v>0</v>
      </c>
      <c r="C359" s="150">
        <f>VLOOKUP(102,'4×+M'!C104:L104,5)</f>
        <v>0</v>
      </c>
      <c r="D359" s="149">
        <f>VLOOKUP(102,'4×+M'!C104:L104,6)</f>
        <v>0</v>
      </c>
      <c r="E359" s="139"/>
      <c r="F359" s="15"/>
      <c r="G359" s="125"/>
      <c r="H359" s="148">
        <v>2</v>
      </c>
      <c r="I359" s="149">
        <f>VLOOKUP(109,'4×+M'!C111:L111,4)</f>
        <v>0</v>
      </c>
      <c r="J359" s="150">
        <f>VLOOKUP(109,'4×+M'!C111:L111,5)</f>
        <v>0</v>
      </c>
      <c r="K359" s="149">
        <f>VLOOKUP(109,'4×+M'!C111:L111,6)</f>
        <v>0</v>
      </c>
      <c r="L359" s="139"/>
      <c r="M359" s="15"/>
    </row>
    <row r="360" spans="1:13" hidden="1">
      <c r="A360" s="148" t="s">
        <v>106</v>
      </c>
      <c r="B360" s="149">
        <f>VLOOKUP(103,'4×+M'!C105:L105,4)</f>
        <v>0</v>
      </c>
      <c r="C360" s="150">
        <f>VLOOKUP(103,'4×+M'!C105:L105,5)</f>
        <v>0</v>
      </c>
      <c r="D360" s="149">
        <f>VLOOKUP(103,'4×+M'!C105:L105,6)</f>
        <v>0</v>
      </c>
      <c r="E360" s="139"/>
      <c r="F360" s="15"/>
      <c r="G360" s="125"/>
      <c r="H360" s="148" t="s">
        <v>106</v>
      </c>
      <c r="I360" s="149">
        <f>VLOOKUP(110,'4×+M'!C112:L112,4)</f>
        <v>0</v>
      </c>
      <c r="J360" s="150">
        <f>VLOOKUP(110,'4×+M'!C112:L112,5)</f>
        <v>0</v>
      </c>
      <c r="K360" s="149">
        <f>VLOOKUP(110,'4×+M'!C112:L112,6)</f>
        <v>0</v>
      </c>
      <c r="L360" s="139"/>
      <c r="M360" s="15"/>
    </row>
    <row r="361" spans="1:13" hidden="1">
      <c r="A361" s="148" t="s">
        <v>27</v>
      </c>
      <c r="B361" s="149">
        <f>VLOOKUP(104,'4×+M'!C106:L106,4)</f>
        <v>0</v>
      </c>
      <c r="C361" s="150">
        <f>VLOOKUP(104,'4×+M'!C106:L106,5)</f>
        <v>0</v>
      </c>
      <c r="D361" s="149">
        <f>VLOOKUP(104,'4×+M'!C106:L106,6)</f>
        <v>0</v>
      </c>
      <c r="E361" s="139"/>
      <c r="F361" s="15"/>
      <c r="G361" s="125"/>
      <c r="H361" s="148" t="s">
        <v>27</v>
      </c>
      <c r="I361" s="149">
        <f>VLOOKUP(111,'4×+M'!C113:L113,4)</f>
        <v>0</v>
      </c>
      <c r="J361" s="150">
        <f>VLOOKUP(111,'4×+M'!C113:L113,5)</f>
        <v>0</v>
      </c>
      <c r="K361" s="149">
        <f>VLOOKUP(1116,'4×+M'!C113:L113,6)</f>
        <v>0</v>
      </c>
      <c r="L361" s="139"/>
      <c r="M361" s="15"/>
    </row>
    <row r="362" spans="1:13" ht="13.5" hidden="1" thickBot="1">
      <c r="A362" s="136" t="s">
        <v>27</v>
      </c>
      <c r="B362" s="137">
        <f>VLOOKUP(105,'4×+M'!C107:L107,4)</f>
        <v>0</v>
      </c>
      <c r="C362" s="138">
        <f>VLOOKUP(105,'4×+M'!C107:L107,5)</f>
        <v>0</v>
      </c>
      <c r="D362" s="137">
        <f>VLOOKUP(105,'4×+M'!C107:L107,6)</f>
        <v>0</v>
      </c>
      <c r="E362" s="139"/>
      <c r="F362" s="15"/>
      <c r="G362" s="125"/>
      <c r="H362" s="136" t="s">
        <v>27</v>
      </c>
      <c r="I362" s="137">
        <f>VLOOKUP(112,'4×+M'!C114:L114,4)</f>
        <v>0</v>
      </c>
      <c r="J362" s="138">
        <f>VLOOKUP(112,'4×+M'!C114:L114,5)</f>
        <v>0</v>
      </c>
      <c r="K362" s="137">
        <f>VLOOKUP(112,'4×+M'!C114:L114,6)</f>
        <v>0</v>
      </c>
      <c r="L362" s="139"/>
      <c r="M362" s="15"/>
    </row>
    <row r="363" spans="1:13" hidden="1">
      <c r="A363" s="15"/>
      <c r="B363" s="15"/>
      <c r="C363" s="15"/>
      <c r="D363" s="15"/>
      <c r="E363" s="15"/>
      <c r="F363" s="15"/>
      <c r="G363" s="125"/>
      <c r="H363" s="15"/>
      <c r="I363" s="146"/>
      <c r="J363" s="15"/>
      <c r="K363" s="146"/>
      <c r="L363" s="15"/>
      <c r="M363" s="15"/>
    </row>
    <row r="364" spans="1:13" ht="16.5">
      <c r="A364" s="127" t="s">
        <v>82</v>
      </c>
      <c r="B364" s="127"/>
      <c r="C364" s="128"/>
      <c r="D364" s="127"/>
      <c r="E364" s="128"/>
      <c r="F364" s="128"/>
      <c r="G364" s="127"/>
      <c r="H364" s="127"/>
      <c r="I364" s="127"/>
      <c r="J364" s="128"/>
      <c r="K364" s="127"/>
      <c r="L364" s="128"/>
      <c r="M364" s="128"/>
    </row>
    <row r="365" spans="1:13" ht="13.5" thickBot="1">
      <c r="A365" s="125"/>
      <c r="B365" s="125"/>
      <c r="C365" s="126"/>
      <c r="D365" s="125"/>
      <c r="E365" s="126"/>
      <c r="F365" s="126"/>
      <c r="G365" s="125"/>
      <c r="H365" s="125"/>
      <c r="I365" s="125"/>
      <c r="J365" s="126"/>
      <c r="K365" s="125"/>
      <c r="L365" s="126"/>
      <c r="M365" s="126"/>
    </row>
    <row r="366" spans="1:13" ht="13.5" thickBot="1">
      <c r="A366" s="129" t="s">
        <v>4</v>
      </c>
      <c r="B366" s="410" t="str">
        <f>VLOOKUP(1,'4×+W'!C3:L3,2)</f>
        <v>沼津東高校</v>
      </c>
      <c r="C366" s="411"/>
      <c r="D366" s="130" t="s">
        <v>21</v>
      </c>
      <c r="E366" s="155" t="str">
        <f>VLOOKUP(1,'4×+W'!C3:L3,9)</f>
        <v>鈴木</v>
      </c>
      <c r="F366" s="156" t="str">
        <f>VLOOKUP(1,'4×+W'!C3:M3,10)</f>
        <v>亮次</v>
      </c>
      <c r="G366" s="125"/>
      <c r="H366" s="129" t="s">
        <v>4</v>
      </c>
      <c r="I366" s="410" t="str">
        <f>VLOOKUP(8,'4×+W'!C10:L10,2)</f>
        <v>浜松大平台高校</v>
      </c>
      <c r="J366" s="411"/>
      <c r="K366" s="130" t="s">
        <v>21</v>
      </c>
      <c r="L366" s="155" t="str">
        <f>VLOOKUP(8,'4×+W'!C10:L10,9)</f>
        <v>藤田</v>
      </c>
      <c r="M366" s="156" t="str">
        <f>VLOOKUP(8,'4×+W'!C10:M10,10)</f>
        <v>達広</v>
      </c>
    </row>
    <row r="367" spans="1:13">
      <c r="A367" s="140" t="s">
        <v>22</v>
      </c>
      <c r="B367" s="141" t="s">
        <v>17</v>
      </c>
      <c r="C367" s="142" t="s">
        <v>19</v>
      </c>
      <c r="D367" s="141" t="s">
        <v>23</v>
      </c>
      <c r="E367" s="134"/>
      <c r="F367" s="135"/>
      <c r="G367" s="125"/>
      <c r="H367" s="140" t="s">
        <v>22</v>
      </c>
      <c r="I367" s="141" t="s">
        <v>17</v>
      </c>
      <c r="J367" s="142" t="s">
        <v>19</v>
      </c>
      <c r="K367" s="141" t="s">
        <v>23</v>
      </c>
      <c r="L367" s="134"/>
      <c r="M367" s="135"/>
    </row>
    <row r="368" spans="1:13">
      <c r="A368" s="148" t="s">
        <v>132</v>
      </c>
      <c r="B368" s="149" t="str">
        <f>VLOOKUP(1,'4×+W'!C3:L3,4)</f>
        <v>長谷川</v>
      </c>
      <c r="C368" s="150" t="str">
        <f>VLOOKUP(1,'4×+W'!C3:L3,5)</f>
        <v>灯</v>
      </c>
      <c r="D368" s="149">
        <f>VLOOKUP(1,'4×+W'!C3:L3,6)</f>
        <v>2</v>
      </c>
      <c r="E368" s="139"/>
      <c r="F368" s="15"/>
      <c r="G368" s="125"/>
      <c r="H368" s="148" t="s">
        <v>132</v>
      </c>
      <c r="I368" s="149" t="str">
        <f>VLOOKUP(8,'4×+W'!C10:L10,4)</f>
        <v>鈴木</v>
      </c>
      <c r="J368" s="150" t="str">
        <f>VLOOKUP(8,'4×+W'!C10:L10,5)</f>
        <v>凛花</v>
      </c>
      <c r="K368" s="149">
        <f>VLOOKUP(8,'4×+W'!C10:L10,6)</f>
        <v>2</v>
      </c>
      <c r="L368" s="139"/>
      <c r="M368" s="15"/>
    </row>
    <row r="369" spans="1:13">
      <c r="A369" s="148" t="s">
        <v>24</v>
      </c>
      <c r="B369" s="149" t="str">
        <f>VLOOKUP(2,'4×+W'!C4:L4,4)</f>
        <v>金盛</v>
      </c>
      <c r="C369" s="150" t="str">
        <f>VLOOKUP(2,'4×+W'!C4:L4,5)</f>
        <v>悠宇和</v>
      </c>
      <c r="D369" s="149">
        <f>VLOOKUP(2,'4×+W'!C4:L4,6)</f>
        <v>2</v>
      </c>
      <c r="E369" s="139"/>
      <c r="F369" s="15"/>
      <c r="G369" s="125"/>
      <c r="H369" s="148" t="s">
        <v>24</v>
      </c>
      <c r="I369" s="149" t="str">
        <f>VLOOKUP(9,'4×+W'!C11:L11,4)</f>
        <v>松川</v>
      </c>
      <c r="J369" s="150" t="str">
        <f>VLOOKUP(9,'4×+W'!C11:L11,5)</f>
        <v>玲菜</v>
      </c>
      <c r="K369" s="149">
        <f>VLOOKUP(9,'4×+W'!C11:L11,6)</f>
        <v>2</v>
      </c>
      <c r="L369" s="139"/>
      <c r="M369" s="15"/>
    </row>
    <row r="370" spans="1:13">
      <c r="A370" s="148">
        <v>3</v>
      </c>
      <c r="B370" s="149" t="str">
        <f>VLOOKUP(3,'4×+W'!C5:L5,4)</f>
        <v>堀池</v>
      </c>
      <c r="C370" s="150" t="str">
        <f>VLOOKUP(3,'4×+W'!C5:L5,5)</f>
        <v>うらら</v>
      </c>
      <c r="D370" s="149">
        <f>VLOOKUP(3,'4×+W'!C5:L5,6)</f>
        <v>3</v>
      </c>
      <c r="E370" s="139"/>
      <c r="F370" s="15"/>
      <c r="G370" s="125"/>
      <c r="H370" s="148">
        <v>3</v>
      </c>
      <c r="I370" s="149" t="str">
        <f>VLOOKUP(10,'4×+W'!C12:L12,4)</f>
        <v>瀧澤</v>
      </c>
      <c r="J370" s="150" t="str">
        <f>VLOOKUP(10,'4×+W'!C12:L12,5)</f>
        <v>明花</v>
      </c>
      <c r="K370" s="149">
        <f>VLOOKUP(10,'4×+W'!C12:L12,6)</f>
        <v>2</v>
      </c>
      <c r="L370" s="139"/>
      <c r="M370" s="15"/>
    </row>
    <row r="371" spans="1:13">
      <c r="A371" s="148">
        <v>2</v>
      </c>
      <c r="B371" s="149" t="str">
        <f>VLOOKUP(4,'4×+W'!C6:L6,4)</f>
        <v>根本</v>
      </c>
      <c r="C371" s="150" t="str">
        <f>VLOOKUP(4,'4×+W'!C6:L6,5)</f>
        <v>祐美</v>
      </c>
      <c r="D371" s="149">
        <f>VLOOKUP(4,'4×+W'!C6:L6,6)</f>
        <v>2</v>
      </c>
      <c r="E371" s="139"/>
      <c r="F371" s="15"/>
      <c r="G371" s="125"/>
      <c r="H371" s="148">
        <v>2</v>
      </c>
      <c r="I371" s="149" t="str">
        <f>VLOOKUP(11,'4×+W'!C13:L13,4)</f>
        <v>鈴木</v>
      </c>
      <c r="J371" s="150" t="str">
        <f>VLOOKUP(11,'4×+W'!C13:L13,5)</f>
        <v>希花</v>
      </c>
      <c r="K371" s="149">
        <f>VLOOKUP(11,'4×+W'!C13:L13,6)</f>
        <v>2</v>
      </c>
      <c r="L371" s="139"/>
      <c r="M371" s="15"/>
    </row>
    <row r="372" spans="1:13">
      <c r="A372" s="148" t="s">
        <v>133</v>
      </c>
      <c r="B372" s="149" t="str">
        <f>VLOOKUP(5,'4×+W'!C7:L7,4)</f>
        <v>村上</v>
      </c>
      <c r="C372" s="150" t="str">
        <f>VLOOKUP(5,'4×+W'!C7:L7,5)</f>
        <v>晴香</v>
      </c>
      <c r="D372" s="149">
        <f>VLOOKUP(5,'4×+W'!C7:L7,6)</f>
        <v>2</v>
      </c>
      <c r="E372" s="139"/>
      <c r="F372" s="15"/>
      <c r="G372" s="125"/>
      <c r="H372" s="148" t="s">
        <v>133</v>
      </c>
      <c r="I372" s="152" t="str">
        <f>VLOOKUP(12,'4×+W'!C14:L14,4)</f>
        <v>岡野</v>
      </c>
      <c r="J372" s="150" t="str">
        <f>VLOOKUP(12,'4×+W'!C14:L14,5)</f>
        <v>知夏</v>
      </c>
      <c r="K372" s="149">
        <f>VLOOKUP(12,'4×+W'!C14:L14,6)</f>
        <v>2</v>
      </c>
      <c r="L372" s="139"/>
      <c r="M372" s="15"/>
    </row>
    <row r="373" spans="1:13">
      <c r="A373" s="148" t="s">
        <v>27</v>
      </c>
      <c r="B373" s="149" t="str">
        <f>VLOOKUP(6,'4×+W'!C8:L8,4)</f>
        <v>山本</v>
      </c>
      <c r="C373" s="150" t="str">
        <f>VLOOKUP(6,'4×+W'!C8:L8,5)</f>
        <v>美羽</v>
      </c>
      <c r="D373" s="149">
        <f>VLOOKUP(6,'4×+W'!C8:L8,6)</f>
        <v>2</v>
      </c>
      <c r="E373" s="139"/>
      <c r="F373" s="15"/>
      <c r="G373" s="125"/>
      <c r="H373" s="148" t="s">
        <v>27</v>
      </c>
      <c r="I373" s="152" t="str">
        <f>VLOOKUP(13,'4×+W'!C15:L15,4)</f>
        <v>河島</v>
      </c>
      <c r="J373" s="150" t="str">
        <f>VLOOKUP(13,'4×+W'!C15:L15,5)</f>
        <v>里紗</v>
      </c>
      <c r="K373" s="149">
        <f>VLOOKUP(13,'4×+W'!C15:L15,6)</f>
        <v>2</v>
      </c>
      <c r="L373" s="139"/>
      <c r="M373" s="15"/>
    </row>
    <row r="374" spans="1:13" ht="13.5" thickBot="1">
      <c r="A374" s="136" t="s">
        <v>33</v>
      </c>
      <c r="B374" s="137">
        <f>VLOOKUP(7,'4×+W'!C9:L9,4)</f>
        <v>0</v>
      </c>
      <c r="C374" s="138">
        <f>VLOOKUP(7,'4×+W'!C9:L9,5)</f>
        <v>0</v>
      </c>
      <c r="D374" s="137">
        <f>VLOOKUP(7,'4×+W'!C9:L9,6)</f>
        <v>0</v>
      </c>
      <c r="E374" s="139"/>
      <c r="F374" s="15"/>
      <c r="G374" s="125"/>
      <c r="H374" s="136" t="s">
        <v>27</v>
      </c>
      <c r="I374" s="153" t="str">
        <f>VLOOKUP(14,'4×+W'!C16:L16,4)</f>
        <v>大井</v>
      </c>
      <c r="J374" s="138" t="str">
        <f>VLOOKUP(14,'4×+W'!C16:L16,5)</f>
        <v>理世</v>
      </c>
      <c r="K374" s="151">
        <f>VLOOKUP(14,'4×+W'!C16:L16,6)</f>
        <v>2</v>
      </c>
      <c r="L374" s="139"/>
      <c r="M374" s="15"/>
    </row>
    <row r="375" spans="1:13" ht="13.5" thickBot="1">
      <c r="A375" s="125"/>
      <c r="B375" s="125"/>
      <c r="C375" s="126"/>
      <c r="D375" s="125"/>
      <c r="E375" s="126"/>
      <c r="F375" s="126"/>
      <c r="G375" s="125"/>
      <c r="H375" s="125"/>
      <c r="I375" s="125"/>
      <c r="J375" s="126"/>
      <c r="K375" s="125"/>
      <c r="L375" s="126"/>
      <c r="M375" s="126"/>
    </row>
    <row r="376" spans="1:13" ht="13.5" thickBot="1">
      <c r="A376" s="129" t="s">
        <v>16</v>
      </c>
      <c r="B376" s="410" t="str">
        <f>VLOOKUP(15,'4×+W'!C17:L17,2)</f>
        <v>浜松北高校</v>
      </c>
      <c r="C376" s="411"/>
      <c r="D376" s="130" t="s">
        <v>21</v>
      </c>
      <c r="E376" s="155" t="str">
        <f>VLOOKUP(15,'4×+W'!C17:L17,9)</f>
        <v>萩原</v>
      </c>
      <c r="F376" s="156" t="str">
        <f>VLOOKUP(15,'4×+W'!C17:M17,10)</f>
        <v>康治</v>
      </c>
      <c r="G376" s="125"/>
      <c r="H376" s="129" t="s">
        <v>16</v>
      </c>
      <c r="I376" s="410">
        <f>VLOOKUP(22,'4×+W'!C24:L24,2)</f>
        <v>0</v>
      </c>
      <c r="J376" s="411"/>
      <c r="K376" s="130" t="s">
        <v>21</v>
      </c>
      <c r="L376" s="155">
        <f>VLOOKUP(22,'4×+W'!C24:L24,9)</f>
        <v>0</v>
      </c>
      <c r="M376" s="156">
        <f>VLOOKUP(22,'4×+W'!C24:M24,10)</f>
        <v>0</v>
      </c>
    </row>
    <row r="377" spans="1:13">
      <c r="A377" s="140" t="s">
        <v>22</v>
      </c>
      <c r="B377" s="141" t="s">
        <v>17</v>
      </c>
      <c r="C377" s="142" t="s">
        <v>19</v>
      </c>
      <c r="D377" s="141" t="s">
        <v>23</v>
      </c>
      <c r="E377" s="134"/>
      <c r="F377" s="135"/>
      <c r="G377" s="125"/>
      <c r="H377" s="140" t="s">
        <v>22</v>
      </c>
      <c r="I377" s="141" t="s">
        <v>17</v>
      </c>
      <c r="J377" s="142" t="s">
        <v>19</v>
      </c>
      <c r="K377" s="141" t="s">
        <v>23</v>
      </c>
      <c r="L377" s="134"/>
      <c r="M377" s="135"/>
    </row>
    <row r="378" spans="1:13">
      <c r="A378" s="148" t="s">
        <v>132</v>
      </c>
      <c r="B378" s="149" t="str">
        <f>VLOOKUP(15,'4×+W'!C17:L17,4)</f>
        <v>笠原</v>
      </c>
      <c r="C378" s="150" t="str">
        <f>VLOOKUP(15,'4×+W'!C17:L17,5)</f>
        <v>美亜</v>
      </c>
      <c r="D378" s="149">
        <f>VLOOKUP(15,'4×+W'!C17:L17,6)</f>
        <v>3</v>
      </c>
      <c r="E378" s="139"/>
      <c r="F378" s="15"/>
      <c r="G378" s="125"/>
      <c r="H378" s="148" t="s">
        <v>132</v>
      </c>
      <c r="I378" s="149">
        <f>VLOOKUP(22,'4×+W'!C24:L24,4)</f>
        <v>0</v>
      </c>
      <c r="J378" s="150">
        <f>VLOOKUP(22,'4×+W'!C24:L24,5)</f>
        <v>0</v>
      </c>
      <c r="K378" s="149">
        <f>VLOOKUP(22,'4×+W'!C24:L24,6)</f>
        <v>0</v>
      </c>
      <c r="L378" s="139"/>
      <c r="M378" s="15"/>
    </row>
    <row r="379" spans="1:13">
      <c r="A379" s="148" t="s">
        <v>24</v>
      </c>
      <c r="B379" s="149" t="str">
        <f>VLOOKUP(16,'4×+W'!C18:L18,4)</f>
        <v>髙橋</v>
      </c>
      <c r="C379" s="150" t="str">
        <f>VLOOKUP(16,'4×+W'!C18:L18,5)</f>
        <v>莉子</v>
      </c>
      <c r="D379" s="149">
        <f>VLOOKUP(16,'4×+W'!C18:L18,6)</f>
        <v>3</v>
      </c>
      <c r="E379" s="139"/>
      <c r="F379" s="15"/>
      <c r="G379" s="125"/>
      <c r="H379" s="148" t="s">
        <v>24</v>
      </c>
      <c r="I379" s="149">
        <f>VLOOKUP(23,'4×+W'!C25:L25,4)</f>
        <v>0</v>
      </c>
      <c r="J379" s="150">
        <f>VLOOKUP(23,'4×+W'!C25:L25,5)</f>
        <v>0</v>
      </c>
      <c r="K379" s="149">
        <f>VLOOKUP(23,'4×+W'!C25:L25,6)</f>
        <v>0</v>
      </c>
      <c r="L379" s="139"/>
      <c r="M379" s="15"/>
    </row>
    <row r="380" spans="1:13">
      <c r="A380" s="148">
        <v>3</v>
      </c>
      <c r="B380" s="149" t="str">
        <f>VLOOKUP(17,'4×+W'!C19:L19,4)</f>
        <v>安藝</v>
      </c>
      <c r="C380" s="150" t="str">
        <f>VLOOKUP(17,'4×+W'!C19:L19,5)</f>
        <v>日向</v>
      </c>
      <c r="D380" s="149">
        <f>VLOOKUP(17,'4×+W'!C19:L19,6)</f>
        <v>2</v>
      </c>
      <c r="E380" s="139"/>
      <c r="F380" s="15"/>
      <c r="G380" s="125"/>
      <c r="H380" s="148">
        <v>3</v>
      </c>
      <c r="I380" s="149">
        <f>VLOOKUP(24,'4×+W'!C26:L26,4)</f>
        <v>0</v>
      </c>
      <c r="J380" s="150">
        <f>VLOOKUP(24,'4×+W'!C26:L26,5)</f>
        <v>0</v>
      </c>
      <c r="K380" s="149">
        <f>VLOOKUP(24,'4×+W'!C26:L26,6)</f>
        <v>0</v>
      </c>
      <c r="L380" s="139"/>
      <c r="M380" s="15"/>
    </row>
    <row r="381" spans="1:13">
      <c r="A381" s="148">
        <v>2</v>
      </c>
      <c r="B381" s="149" t="str">
        <f>VLOOKUP(18,'4×+W'!C20:L20,4)</f>
        <v>濵本</v>
      </c>
      <c r="C381" s="150" t="str">
        <f>VLOOKUP(18,'4×+W'!C20:L20,5)</f>
        <v>侑里</v>
      </c>
      <c r="D381" s="149">
        <f>VLOOKUP(18,'4×+W'!C20:L20,6)</f>
        <v>3</v>
      </c>
      <c r="E381" s="139"/>
      <c r="F381" s="15"/>
      <c r="G381" s="125"/>
      <c r="H381" s="148">
        <v>2</v>
      </c>
      <c r="I381" s="149">
        <f>VLOOKUP(25,'4×+W'!C27:L27,4)</f>
        <v>0</v>
      </c>
      <c r="J381" s="150">
        <f>VLOOKUP(25,'4×+W'!C27:L27,5)</f>
        <v>0</v>
      </c>
      <c r="K381" s="149">
        <f>VLOOKUP(25,'4×+W'!C27:L27,6)</f>
        <v>0</v>
      </c>
      <c r="L381" s="139"/>
      <c r="M381" s="15"/>
    </row>
    <row r="382" spans="1:13">
      <c r="A382" s="148" t="s">
        <v>133</v>
      </c>
      <c r="B382" s="149" t="str">
        <f>VLOOKUP(19,'4×+W'!C21:L21,4)</f>
        <v>木下</v>
      </c>
      <c r="C382" s="150" t="str">
        <f>VLOOKUP(19,'4×+W'!C21:L21,5)</f>
        <v>朋香</v>
      </c>
      <c r="D382" s="149">
        <f>VLOOKUP(19,'4×+W'!C21:L21,6)</f>
        <v>2</v>
      </c>
      <c r="E382" s="139"/>
      <c r="F382" s="15"/>
      <c r="G382" s="125"/>
      <c r="H382" s="148" t="s">
        <v>133</v>
      </c>
      <c r="I382" s="152">
        <f>VLOOKUP(26,'4×+W'!C28:L28,4)</f>
        <v>0</v>
      </c>
      <c r="J382" s="150">
        <f>VLOOKUP(26,'4×+W'!C28:L28,5)</f>
        <v>0</v>
      </c>
      <c r="K382" s="149">
        <f>VLOOKUP(26,'4×+W'!C28:L28,6)</f>
        <v>0</v>
      </c>
      <c r="L382" s="139"/>
      <c r="M382" s="15"/>
    </row>
    <row r="383" spans="1:13">
      <c r="A383" s="148" t="s">
        <v>27</v>
      </c>
      <c r="B383" s="149">
        <f>VLOOKUP(20,'4×+W'!C22:L22,4)</f>
        <v>0</v>
      </c>
      <c r="C383" s="150">
        <f>VLOOKUP(20,'4×+W'!C22:L22,5)</f>
        <v>0</v>
      </c>
      <c r="D383" s="149">
        <f>VLOOKUP(20,'4×+W'!C22:L22,6)</f>
        <v>0</v>
      </c>
      <c r="E383" s="139"/>
      <c r="F383" s="15"/>
      <c r="G383" s="125"/>
      <c r="H383" s="148" t="s">
        <v>27</v>
      </c>
      <c r="I383" s="152">
        <f>VLOOKUP(27,'4×+W'!C29:L29,4)</f>
        <v>0</v>
      </c>
      <c r="J383" s="150">
        <f>VLOOKUP(27,'4×+W'!C29:L29,5)</f>
        <v>0</v>
      </c>
      <c r="K383" s="149">
        <f>VLOOKUP(27,'4×+W'!C29:L29,6)</f>
        <v>0</v>
      </c>
      <c r="L383" s="139"/>
      <c r="M383" s="15"/>
    </row>
    <row r="384" spans="1:13" ht="13.5" thickBot="1">
      <c r="A384" s="136" t="s">
        <v>27</v>
      </c>
      <c r="B384" s="137">
        <f>VLOOKUP(21,'4×+W'!C23:L23,4)</f>
        <v>0</v>
      </c>
      <c r="C384" s="138">
        <f>VLOOKUP(21,'4×+W'!C23:L23,5)</f>
        <v>0</v>
      </c>
      <c r="D384" s="137">
        <f>VLOOKUP(21,'4×+W'!C23:L23,6)</f>
        <v>0</v>
      </c>
      <c r="E384" s="139"/>
      <c r="F384" s="15"/>
      <c r="G384" s="125"/>
      <c r="H384" s="136" t="s">
        <v>27</v>
      </c>
      <c r="I384" s="137">
        <f>VLOOKUP(28,'4×+W'!C30:L30,4)</f>
        <v>0</v>
      </c>
      <c r="J384" s="138">
        <f>VLOOKUP(28,'4×+W'!C30:L30,5)</f>
        <v>0</v>
      </c>
      <c r="K384" s="151">
        <f>VLOOKUP(28,'4×+W'!C30:L30,6)</f>
        <v>0</v>
      </c>
      <c r="L384" s="139"/>
      <c r="M384" s="15"/>
    </row>
    <row r="385" spans="1:13" ht="13.5" hidden="1" thickBot="1">
      <c r="A385" s="125"/>
      <c r="B385" s="125"/>
      <c r="C385" s="126"/>
      <c r="D385" s="125"/>
      <c r="E385" s="126"/>
      <c r="F385" s="126"/>
      <c r="G385" s="125"/>
      <c r="H385" s="125"/>
      <c r="I385" s="125"/>
      <c r="J385" s="126"/>
      <c r="K385" s="125"/>
      <c r="L385" s="126"/>
      <c r="M385" s="126"/>
    </row>
    <row r="386" spans="1:13" ht="13.5" hidden="1" thickBot="1">
      <c r="A386" s="129" t="s">
        <v>16</v>
      </c>
      <c r="B386" s="410">
        <f>VLOOKUP(29,'4×+W'!C31:L31,2)</f>
        <v>0</v>
      </c>
      <c r="C386" s="411"/>
      <c r="D386" s="130" t="s">
        <v>21</v>
      </c>
      <c r="E386" s="155">
        <f>VLOOKUP(29,'4×+W'!C31:L31,9)</f>
        <v>0</v>
      </c>
      <c r="F386" s="156">
        <f>VLOOKUP(29,'4×+W'!C31:M31,10)</f>
        <v>0</v>
      </c>
      <c r="G386" s="125"/>
      <c r="H386" s="129" t="s">
        <v>16</v>
      </c>
      <c r="I386" s="410">
        <f>VLOOKUP(36,'4×+W'!C38:L38,2)</f>
        <v>0</v>
      </c>
      <c r="J386" s="411"/>
      <c r="K386" s="130" t="s">
        <v>21</v>
      </c>
      <c r="L386" s="155">
        <f>VLOOKUP(36,'4×+W'!C38:L38,9)</f>
        <v>0</v>
      </c>
      <c r="M386" s="156">
        <f>VLOOKUP(36,'4×+W'!C38:M38,10)</f>
        <v>0</v>
      </c>
    </row>
    <row r="387" spans="1:13" hidden="1">
      <c r="A387" s="140" t="s">
        <v>22</v>
      </c>
      <c r="B387" s="141" t="s">
        <v>17</v>
      </c>
      <c r="C387" s="142" t="s">
        <v>19</v>
      </c>
      <c r="D387" s="141" t="s">
        <v>23</v>
      </c>
      <c r="E387" s="134"/>
      <c r="F387" s="135"/>
      <c r="G387" s="125"/>
      <c r="H387" s="140" t="s">
        <v>22</v>
      </c>
      <c r="I387" s="141" t="s">
        <v>17</v>
      </c>
      <c r="J387" s="142" t="s">
        <v>19</v>
      </c>
      <c r="K387" s="141" t="s">
        <v>23</v>
      </c>
      <c r="L387" s="134"/>
      <c r="M387" s="135"/>
    </row>
    <row r="388" spans="1:13" hidden="1">
      <c r="A388" s="148" t="s">
        <v>132</v>
      </c>
      <c r="B388" s="149">
        <f>VLOOKUP(29,'4×+W'!C31:L31,4)</f>
        <v>0</v>
      </c>
      <c r="C388" s="150">
        <f>VLOOKUP(29,'4×+W'!C31:L31,5)</f>
        <v>0</v>
      </c>
      <c r="D388" s="149">
        <f>VLOOKUP(29,'4×+W'!C31:L31,6)</f>
        <v>0</v>
      </c>
      <c r="E388" s="139"/>
      <c r="F388" s="15"/>
      <c r="G388" s="125"/>
      <c r="H388" s="148" t="s">
        <v>132</v>
      </c>
      <c r="I388" s="149">
        <f>VLOOKUP(36,'4×+W'!C38:L38,4)</f>
        <v>0</v>
      </c>
      <c r="J388" s="150">
        <f>VLOOKUP(36,'4×+W'!C38:L38,5)</f>
        <v>0</v>
      </c>
      <c r="K388" s="149">
        <f>VLOOKUP(36,'4×+W'!C38:L38,6)</f>
        <v>0</v>
      </c>
      <c r="L388" s="139"/>
      <c r="M388" s="15"/>
    </row>
    <row r="389" spans="1:13" hidden="1">
      <c r="A389" s="148" t="s">
        <v>24</v>
      </c>
      <c r="B389" s="149">
        <f>VLOOKUP(30,'4×+W'!C32:L32,4)</f>
        <v>0</v>
      </c>
      <c r="C389" s="150">
        <f>VLOOKUP(30,'4×+W'!C32:L32,5)</f>
        <v>0</v>
      </c>
      <c r="D389" s="149">
        <f>VLOOKUP(30,'4×+W'!C32:L32,6)</f>
        <v>0</v>
      </c>
      <c r="E389" s="139"/>
      <c r="F389" s="15"/>
      <c r="G389" s="125"/>
      <c r="H389" s="148" t="s">
        <v>24</v>
      </c>
      <c r="I389" s="149">
        <f>VLOOKUP(37,'4×+W'!C39:L39,4)</f>
        <v>0</v>
      </c>
      <c r="J389" s="150">
        <f>VLOOKUP(37,'4×+W'!C39:L39,5)</f>
        <v>0</v>
      </c>
      <c r="K389" s="149">
        <f>VLOOKUP(37,'4×+W'!C39:L39,6)</f>
        <v>0</v>
      </c>
      <c r="L389" s="139"/>
      <c r="M389" s="15"/>
    </row>
    <row r="390" spans="1:13" hidden="1">
      <c r="A390" s="148">
        <v>3</v>
      </c>
      <c r="B390" s="149">
        <f>VLOOKUP(31,'4×+W'!C33:L33,4)</f>
        <v>0</v>
      </c>
      <c r="C390" s="150">
        <f>VLOOKUP(31,'4×+W'!C33:L33,5)</f>
        <v>0</v>
      </c>
      <c r="D390" s="149">
        <f>VLOOKUP(31,'4×+W'!C33:L33,6)</f>
        <v>0</v>
      </c>
      <c r="E390" s="139"/>
      <c r="F390" s="15"/>
      <c r="G390" s="125"/>
      <c r="H390" s="148">
        <v>3</v>
      </c>
      <c r="I390" s="149">
        <f>VLOOKUP(38,'4×+W'!C40:L40,4)</f>
        <v>0</v>
      </c>
      <c r="J390" s="150">
        <f>VLOOKUP(38,'4×+W'!C40:L40,5)</f>
        <v>0</v>
      </c>
      <c r="K390" s="149">
        <f>VLOOKUP(38,'4×+W'!C40:L40,6)</f>
        <v>0</v>
      </c>
      <c r="L390" s="139"/>
      <c r="M390" s="15"/>
    </row>
    <row r="391" spans="1:13" hidden="1">
      <c r="A391" s="148">
        <v>2</v>
      </c>
      <c r="B391" s="149">
        <f>VLOOKUP(32,'4×+W'!C34:L34,4)</f>
        <v>0</v>
      </c>
      <c r="C391" s="150">
        <f>VLOOKUP(32,'4×+W'!C34:L34,5)</f>
        <v>0</v>
      </c>
      <c r="D391" s="149">
        <f>VLOOKUP(32,'4×+W'!C34:L34,6)</f>
        <v>0</v>
      </c>
      <c r="E391" s="139"/>
      <c r="F391" s="15"/>
      <c r="G391" s="125"/>
      <c r="H391" s="148">
        <v>2</v>
      </c>
      <c r="I391" s="149">
        <f>VLOOKUP(39,'4×+W'!C41:L41,4)</f>
        <v>0</v>
      </c>
      <c r="J391" s="150">
        <f>VLOOKUP(39,'4×+W'!C41:L41,5)</f>
        <v>0</v>
      </c>
      <c r="K391" s="149">
        <f>VLOOKUP(39,'4×+W'!C41:L41,6)</f>
        <v>0</v>
      </c>
      <c r="L391" s="139"/>
      <c r="M391" s="15"/>
    </row>
    <row r="392" spans="1:13" hidden="1">
      <c r="A392" s="148" t="s">
        <v>133</v>
      </c>
      <c r="B392" s="149">
        <f>VLOOKUP(33,'4×+W'!C35:L35,4)</f>
        <v>0</v>
      </c>
      <c r="C392" s="150">
        <f>VLOOKUP(33,'4×+W'!C35:L35,5)</f>
        <v>0</v>
      </c>
      <c r="D392" s="149">
        <f>VLOOKUP(33,'4×+W'!C35:L35,6)</f>
        <v>0</v>
      </c>
      <c r="E392" s="139"/>
      <c r="F392" s="15"/>
      <c r="G392" s="125"/>
      <c r="H392" s="148" t="s">
        <v>133</v>
      </c>
      <c r="I392" s="152">
        <f>VLOOKUP(40,'4×+W'!C42:L42,4)</f>
        <v>0</v>
      </c>
      <c r="J392" s="150">
        <f>VLOOKUP(40,'4×+W'!C42:L42,5)</f>
        <v>0</v>
      </c>
      <c r="K392" s="149">
        <f>VLOOKUP(40,'4×+W'!C42:L42,6)</f>
        <v>0</v>
      </c>
      <c r="L392" s="139"/>
      <c r="M392" s="15"/>
    </row>
    <row r="393" spans="1:13" hidden="1">
      <c r="A393" s="148" t="s">
        <v>27</v>
      </c>
      <c r="B393" s="149">
        <f>VLOOKUP(34,'4×+W'!C36:L36,4)</f>
        <v>0</v>
      </c>
      <c r="C393" s="150">
        <f>VLOOKUP(34,'4×+W'!C36:L36,5)</f>
        <v>0</v>
      </c>
      <c r="D393" s="149">
        <f>VLOOKUP(34,'4×+W'!C36:L36,6)</f>
        <v>0</v>
      </c>
      <c r="E393" s="139"/>
      <c r="F393" s="15"/>
      <c r="G393" s="125"/>
      <c r="H393" s="148" t="s">
        <v>27</v>
      </c>
      <c r="I393" s="152">
        <f>VLOOKUP(41,'4×+W'!C43:L43,4)</f>
        <v>0</v>
      </c>
      <c r="J393" s="150">
        <f>VLOOKUP(41,'4×+W'!C43:L43,5)</f>
        <v>0</v>
      </c>
      <c r="K393" s="149">
        <f>VLOOKUP(41,'4×+W'!C43:L43,6)</f>
        <v>0</v>
      </c>
      <c r="L393" s="139"/>
      <c r="M393" s="15"/>
    </row>
    <row r="394" spans="1:13" ht="13.5" hidden="1" thickBot="1">
      <c r="A394" s="136" t="s">
        <v>27</v>
      </c>
      <c r="B394" s="137">
        <f>VLOOKUP(35,'4×+W'!C37:L37,4)</f>
        <v>0</v>
      </c>
      <c r="C394" s="138">
        <f>VLOOKUP(35,'4×+W'!C37:L37,5)</f>
        <v>0</v>
      </c>
      <c r="D394" s="137">
        <f>VLOOKUP(35,'4×+W'!C37:L37,6)</f>
        <v>0</v>
      </c>
      <c r="E394" s="139"/>
      <c r="F394" s="15"/>
      <c r="G394" s="125"/>
      <c r="H394" s="136" t="s">
        <v>27</v>
      </c>
      <c r="I394" s="153">
        <f>VLOOKUP(42,'4×+W'!C44:L44,4)</f>
        <v>0</v>
      </c>
      <c r="J394" s="138">
        <f>VLOOKUP(42,'4×+W'!C44:L44,5)</f>
        <v>0</v>
      </c>
      <c r="K394" s="137">
        <f>VLOOKUP(42,'4×+W'!C44:L44,6)</f>
        <v>0</v>
      </c>
      <c r="L394" s="139"/>
      <c r="M394" s="15"/>
    </row>
    <row r="395" spans="1:13" ht="13.5" hidden="1" thickBot="1">
      <c r="A395" s="125"/>
      <c r="B395" s="125"/>
      <c r="C395" s="126"/>
      <c r="D395" s="125"/>
      <c r="E395" s="126"/>
      <c r="F395" s="126"/>
      <c r="G395" s="125"/>
      <c r="H395" s="125"/>
      <c r="I395" s="125"/>
      <c r="J395" s="126"/>
      <c r="K395" s="125"/>
      <c r="L395" s="126"/>
      <c r="M395" s="126"/>
    </row>
    <row r="396" spans="1:13" ht="13.5" hidden="1" thickBot="1">
      <c r="A396" s="129" t="s">
        <v>16</v>
      </c>
      <c r="B396" s="410">
        <f>VLOOKUP(43,'4×+W'!C45:L45,2)</f>
        <v>0</v>
      </c>
      <c r="C396" s="411"/>
      <c r="D396" s="130" t="s">
        <v>21</v>
      </c>
      <c r="E396" s="155">
        <f>VLOOKUP(43,'4×+W'!C45:L45,9)</f>
        <v>0</v>
      </c>
      <c r="F396" s="156">
        <f>VLOOKUP(43,'4×+W'!C45:M45,10)</f>
        <v>0</v>
      </c>
      <c r="G396" s="125"/>
      <c r="H396" s="129" t="s">
        <v>16</v>
      </c>
      <c r="I396" s="410">
        <f>VLOOKUP(50,'4×+W'!C52:L52,2)</f>
        <v>0</v>
      </c>
      <c r="J396" s="411"/>
      <c r="K396" s="130" t="s">
        <v>21</v>
      </c>
      <c r="L396" s="155">
        <f>VLOOKUP(50,'4×+W'!C52:L52,9)</f>
        <v>0</v>
      </c>
      <c r="M396" s="156">
        <f>VLOOKUP(50,'4×+W'!C52:M52,10)</f>
        <v>0</v>
      </c>
    </row>
    <row r="397" spans="1:13" hidden="1">
      <c r="A397" s="140" t="s">
        <v>22</v>
      </c>
      <c r="B397" s="141" t="s">
        <v>17</v>
      </c>
      <c r="C397" s="142" t="s">
        <v>19</v>
      </c>
      <c r="D397" s="141" t="s">
        <v>23</v>
      </c>
      <c r="E397" s="134"/>
      <c r="F397" s="135"/>
      <c r="G397" s="125"/>
      <c r="H397" s="140" t="s">
        <v>22</v>
      </c>
      <c r="I397" s="141" t="s">
        <v>17</v>
      </c>
      <c r="J397" s="142" t="s">
        <v>19</v>
      </c>
      <c r="K397" s="141" t="s">
        <v>23</v>
      </c>
      <c r="L397" s="134"/>
      <c r="M397" s="135"/>
    </row>
    <row r="398" spans="1:13" hidden="1">
      <c r="A398" s="148" t="s">
        <v>132</v>
      </c>
      <c r="B398" s="149">
        <f>VLOOKUP(43,'4×+W'!C45:L45,4)</f>
        <v>0</v>
      </c>
      <c r="C398" s="150">
        <f>VLOOKUP(43,'4×+W'!C45:L45,5)</f>
        <v>0</v>
      </c>
      <c r="D398" s="149">
        <f>VLOOKUP(43,'4×+W'!C45:L45,6)</f>
        <v>0</v>
      </c>
      <c r="E398" s="139"/>
      <c r="F398" s="15"/>
      <c r="G398" s="125"/>
      <c r="H398" s="148" t="s">
        <v>132</v>
      </c>
      <c r="I398" s="149">
        <f>VLOOKUP(50,'4×+W'!C52:L52,4)</f>
        <v>0</v>
      </c>
      <c r="J398" s="150">
        <f>VLOOKUP(50,'4×+W'!C52:L52,5)</f>
        <v>0</v>
      </c>
      <c r="K398" s="149">
        <f>VLOOKUP(50,'4×+W'!C52:L52,6)</f>
        <v>0</v>
      </c>
      <c r="L398" s="139"/>
      <c r="M398" s="15"/>
    </row>
    <row r="399" spans="1:13" hidden="1">
      <c r="A399" s="148" t="s">
        <v>24</v>
      </c>
      <c r="B399" s="149">
        <f>VLOOKUP(44,'4×+W'!C46:L46,4)</f>
        <v>0</v>
      </c>
      <c r="C399" s="150">
        <f>VLOOKUP(44,'4×+W'!C46:L46,5)</f>
        <v>0</v>
      </c>
      <c r="D399" s="149">
        <f>VLOOKUP(44,'4×+W'!C46:L46,6)</f>
        <v>0</v>
      </c>
      <c r="E399" s="139"/>
      <c r="F399" s="15"/>
      <c r="G399" s="125"/>
      <c r="H399" s="148" t="s">
        <v>24</v>
      </c>
      <c r="I399" s="149">
        <f>VLOOKUP(51,'4×+W'!C53:L53,4)</f>
        <v>0</v>
      </c>
      <c r="J399" s="150">
        <f>VLOOKUP(51,'4×+W'!C53:L53,5)</f>
        <v>0</v>
      </c>
      <c r="K399" s="149">
        <f>VLOOKUP(51,'4×+W'!C5:L53,6)</f>
        <v>0</v>
      </c>
      <c r="L399" s="139"/>
      <c r="M399" s="15"/>
    </row>
    <row r="400" spans="1:13" hidden="1">
      <c r="A400" s="148">
        <v>3</v>
      </c>
      <c r="B400" s="149">
        <f>VLOOKUP(45,'4×+W'!C47:L47,4)</f>
        <v>0</v>
      </c>
      <c r="C400" s="150">
        <f>VLOOKUP(45,'4×+W'!C47:L47,5)</f>
        <v>0</v>
      </c>
      <c r="D400" s="149">
        <f>VLOOKUP(45,'4×+W'!C47:L47,6)</f>
        <v>0</v>
      </c>
      <c r="E400" s="139"/>
      <c r="F400" s="15"/>
      <c r="G400" s="125"/>
      <c r="H400" s="148">
        <v>3</v>
      </c>
      <c r="I400" s="149">
        <f>VLOOKUP(52,'4×+W'!C54:L54,4)</f>
        <v>0</v>
      </c>
      <c r="J400" s="150">
        <f>VLOOKUP(52,'4×+W'!C54:L54,5)</f>
        <v>0</v>
      </c>
      <c r="K400" s="149">
        <f>VLOOKUP(52,'4×+W'!C54:L54,6)</f>
        <v>0</v>
      </c>
      <c r="L400" s="139"/>
      <c r="M400" s="15"/>
    </row>
    <row r="401" spans="1:13" hidden="1">
      <c r="A401" s="148">
        <v>2</v>
      </c>
      <c r="B401" s="149">
        <f>VLOOKUP(46,'4×+W'!C48:L48,4)</f>
        <v>0</v>
      </c>
      <c r="C401" s="150">
        <f>VLOOKUP(46,'4×+W'!C48:L48,5)</f>
        <v>0</v>
      </c>
      <c r="D401" s="149">
        <f>VLOOKUP(46,'4×+W'!C48:L48,6)</f>
        <v>0</v>
      </c>
      <c r="E401" s="139"/>
      <c r="F401" s="15"/>
      <c r="G401" s="125"/>
      <c r="H401" s="148">
        <v>2</v>
      </c>
      <c r="I401" s="149">
        <f>VLOOKUP(53,'4×+W'!C55:L55,4)</f>
        <v>0</v>
      </c>
      <c r="J401" s="150">
        <f>VLOOKUP(53,'4×+W'!C55:L55,5)</f>
        <v>0</v>
      </c>
      <c r="K401" s="149">
        <f>VLOOKUP(53,'4×+W'!C55:L55,6)</f>
        <v>0</v>
      </c>
      <c r="L401" s="139"/>
      <c r="M401" s="15"/>
    </row>
    <row r="402" spans="1:13" hidden="1">
      <c r="A402" s="148" t="s">
        <v>133</v>
      </c>
      <c r="B402" s="149">
        <f>VLOOKUP(47,'4×+W'!C49:L49,4)</f>
        <v>0</v>
      </c>
      <c r="C402" s="150">
        <f>VLOOKUP(47,'4×+W'!C49:L49,5)</f>
        <v>0</v>
      </c>
      <c r="D402" s="149">
        <f>VLOOKUP(47,'4×+W'!C49:L49,6)</f>
        <v>0</v>
      </c>
      <c r="E402" s="139"/>
      <c r="F402" s="15"/>
      <c r="G402" s="125"/>
      <c r="H402" s="148" t="s">
        <v>133</v>
      </c>
      <c r="I402" s="152">
        <f>VLOOKUP(54,'4×+W'!C56:L56,4)</f>
        <v>0</v>
      </c>
      <c r="J402" s="150">
        <f>VLOOKUP(54,'4×+W'!C56:L56,5)</f>
        <v>0</v>
      </c>
      <c r="K402" s="149">
        <f>VLOOKUP(54,'4×+W'!C56:L56,6)</f>
        <v>0</v>
      </c>
      <c r="L402" s="139"/>
      <c r="M402" s="15"/>
    </row>
    <row r="403" spans="1:13" hidden="1">
      <c r="A403" s="148" t="s">
        <v>27</v>
      </c>
      <c r="B403" s="149">
        <f>VLOOKUP(48,'4×+W'!C50:L50,4)</f>
        <v>0</v>
      </c>
      <c r="C403" s="150">
        <f>VLOOKUP(48,'4×+W'!C50:L50,5)</f>
        <v>0</v>
      </c>
      <c r="D403" s="149">
        <f>VLOOKUP(48,'4×+W'!C50:L50,6)</f>
        <v>0</v>
      </c>
      <c r="E403" s="139"/>
      <c r="F403" s="15"/>
      <c r="G403" s="125"/>
      <c r="H403" s="148" t="s">
        <v>27</v>
      </c>
      <c r="I403" s="152">
        <f>VLOOKUP(55,'4×+W'!C57:L57,4)</f>
        <v>0</v>
      </c>
      <c r="J403" s="150">
        <f>VLOOKUP(55,'4×+W'!C57:L57,5)</f>
        <v>0</v>
      </c>
      <c r="K403" s="149">
        <f>VLOOKUP(55,'4×+W'!C57:L57,6)</f>
        <v>0</v>
      </c>
      <c r="L403" s="139"/>
      <c r="M403" s="15"/>
    </row>
    <row r="404" spans="1:13" ht="13.5" hidden="1" thickBot="1">
      <c r="A404" s="136" t="s">
        <v>27</v>
      </c>
      <c r="B404" s="137">
        <f>VLOOKUP(49,'4×+W'!C51:L51,4)</f>
        <v>0</v>
      </c>
      <c r="C404" s="138">
        <f>VLOOKUP(49,'4×+W'!C51:L51,5)</f>
        <v>0</v>
      </c>
      <c r="D404" s="137">
        <f>VLOOKUP(49,'4×+W'!C51:L51,6)</f>
        <v>0</v>
      </c>
      <c r="E404" s="139"/>
      <c r="F404" s="15"/>
      <c r="G404" s="125"/>
      <c r="H404" s="136" t="s">
        <v>27</v>
      </c>
      <c r="I404" s="137">
        <f>VLOOKUP(56,'4×+W'!C58:L58,4)</f>
        <v>0</v>
      </c>
      <c r="J404" s="138">
        <f>VLOOKUP(56,'4×+W'!C58:L58,5)</f>
        <v>0</v>
      </c>
      <c r="K404" s="151">
        <f>VLOOKUP(56,'4×+W'!C58:L58,6)</f>
        <v>0</v>
      </c>
      <c r="L404" s="139"/>
      <c r="M404" s="15"/>
    </row>
    <row r="405" spans="1:13" hidden="1"/>
    <row r="406" spans="1:13" hidden="1"/>
  </sheetData>
  <mergeCells count="137">
    <mergeCell ref="A1:M1"/>
    <mergeCell ref="B5:C5"/>
    <mergeCell ref="I5:J5"/>
    <mergeCell ref="B9:C9"/>
    <mergeCell ref="I9:J9"/>
    <mergeCell ref="I276:J276"/>
    <mergeCell ref="B147:C147"/>
    <mergeCell ref="B165:C165"/>
    <mergeCell ref="B183:C183"/>
    <mergeCell ref="B119:C119"/>
    <mergeCell ref="B65:C65"/>
    <mergeCell ref="I65:J65"/>
    <mergeCell ref="B69:C69"/>
    <mergeCell ref="I69:J69"/>
    <mergeCell ref="B13:C13"/>
    <mergeCell ref="I13:J13"/>
    <mergeCell ref="B17:C17"/>
    <mergeCell ref="I17:J17"/>
    <mergeCell ref="B21:C21"/>
    <mergeCell ref="I21:J21"/>
    <mergeCell ref="B37:C37"/>
    <mergeCell ref="I37:J37"/>
    <mergeCell ref="B276:C276"/>
    <mergeCell ref="B41:C41"/>
    <mergeCell ref="I41:J41"/>
    <mergeCell ref="B45:C45"/>
    <mergeCell ref="I45:J45"/>
    <mergeCell ref="B49:C49"/>
    <mergeCell ref="I49:J49"/>
    <mergeCell ref="B25:C25"/>
    <mergeCell ref="I25:J25"/>
    <mergeCell ref="B29:C29"/>
    <mergeCell ref="I29:J29"/>
    <mergeCell ref="B33:C33"/>
    <mergeCell ref="I33:J33"/>
    <mergeCell ref="B95:C95"/>
    <mergeCell ref="I95:J95"/>
    <mergeCell ref="B99:C99"/>
    <mergeCell ref="I99:J99"/>
    <mergeCell ref="B103:C103"/>
    <mergeCell ref="I103:J103"/>
    <mergeCell ref="B53:C53"/>
    <mergeCell ref="I53:J53"/>
    <mergeCell ref="B57:C57"/>
    <mergeCell ref="I57:J57"/>
    <mergeCell ref="B61:C61"/>
    <mergeCell ref="I61:J61"/>
    <mergeCell ref="B73:C73"/>
    <mergeCell ref="I73:J73"/>
    <mergeCell ref="B77:C77"/>
    <mergeCell ref="I77:J77"/>
    <mergeCell ref="B81:C81"/>
    <mergeCell ref="I81:J81"/>
    <mergeCell ref="B85:C85"/>
    <mergeCell ref="I85:J85"/>
    <mergeCell ref="B89:C89"/>
    <mergeCell ref="I89:J89"/>
    <mergeCell ref="I119:J119"/>
    <mergeCell ref="B123:C123"/>
    <mergeCell ref="I123:J123"/>
    <mergeCell ref="B127:C127"/>
    <mergeCell ref="I127:J127"/>
    <mergeCell ref="B107:C107"/>
    <mergeCell ref="I107:J107"/>
    <mergeCell ref="B111:C111"/>
    <mergeCell ref="I111:J111"/>
    <mergeCell ref="B115:C115"/>
    <mergeCell ref="I115:J115"/>
    <mergeCell ref="I147:J147"/>
    <mergeCell ref="B153:C153"/>
    <mergeCell ref="I153:J153"/>
    <mergeCell ref="B159:C159"/>
    <mergeCell ref="I159:J159"/>
    <mergeCell ref="B131:C131"/>
    <mergeCell ref="I131:J131"/>
    <mergeCell ref="B135:C135"/>
    <mergeCell ref="I135:J135"/>
    <mergeCell ref="B141:C141"/>
    <mergeCell ref="I141:J141"/>
    <mergeCell ref="I183:J183"/>
    <mergeCell ref="B189:C189"/>
    <mergeCell ref="I189:J189"/>
    <mergeCell ref="B195:C195"/>
    <mergeCell ref="I195:J195"/>
    <mergeCell ref="I165:J165"/>
    <mergeCell ref="B171:C171"/>
    <mergeCell ref="I171:J171"/>
    <mergeCell ref="B177:C177"/>
    <mergeCell ref="I177:J177"/>
    <mergeCell ref="B219:C219"/>
    <mergeCell ref="I219:J219"/>
    <mergeCell ref="B225:C225"/>
    <mergeCell ref="I225:J225"/>
    <mergeCell ref="B231:C231"/>
    <mergeCell ref="I231:J231"/>
    <mergeCell ref="B201:C201"/>
    <mergeCell ref="I201:J201"/>
    <mergeCell ref="B207:C207"/>
    <mergeCell ref="I207:J207"/>
    <mergeCell ref="B213:C213"/>
    <mergeCell ref="I213:J213"/>
    <mergeCell ref="B258:C258"/>
    <mergeCell ref="I258:J258"/>
    <mergeCell ref="B264:C264"/>
    <mergeCell ref="I264:J264"/>
    <mergeCell ref="B270:C270"/>
    <mergeCell ref="I270:J270"/>
    <mergeCell ref="B240:C240"/>
    <mergeCell ref="I240:J240"/>
    <mergeCell ref="B246:C246"/>
    <mergeCell ref="I246:J246"/>
    <mergeCell ref="B252:C252"/>
    <mergeCell ref="I252:J252"/>
    <mergeCell ref="B304:C304"/>
    <mergeCell ref="I304:J304"/>
    <mergeCell ref="B314:C314"/>
    <mergeCell ref="I314:J314"/>
    <mergeCell ref="B324:C324"/>
    <mergeCell ref="I324:J324"/>
    <mergeCell ref="B284:C284"/>
    <mergeCell ref="I284:J284"/>
    <mergeCell ref="B294:C294"/>
    <mergeCell ref="I294:J294"/>
    <mergeCell ref="I396:J396"/>
    <mergeCell ref="I366:J366"/>
    <mergeCell ref="B376:C376"/>
    <mergeCell ref="I376:J376"/>
    <mergeCell ref="B386:C386"/>
    <mergeCell ref="I386:J386"/>
    <mergeCell ref="B334:C334"/>
    <mergeCell ref="I334:J334"/>
    <mergeCell ref="B344:C344"/>
    <mergeCell ref="I344:J344"/>
    <mergeCell ref="B354:C354"/>
    <mergeCell ref="I354:J354"/>
    <mergeCell ref="B366:C366"/>
    <mergeCell ref="B396:C396"/>
  </mergeCells>
  <phoneticPr fontId="2"/>
  <conditionalFormatting sqref="A396:M404 A1:M394">
    <cfRule type="cellIs" dxfId="1" priority="2" operator="equal">
      <formula>0</formula>
    </cfRule>
  </conditionalFormatting>
  <conditionalFormatting sqref="A395:M395">
    <cfRule type="cellIs" dxfId="0" priority="1" operator="equal">
      <formula>0</formula>
    </cfRule>
  </conditionalFormatting>
  <pageMargins left="0.51181102362204722" right="0.51181102362204722" top="0.51181102362204722" bottom="0.43307086614173229" header="0.51181102362204722" footer="0.51181102362204722"/>
  <pageSetup paperSize="9" scale="78" fitToHeight="6" orientation="portrait" r:id="rId1"/>
  <headerFooter alignWithMargins="0"/>
  <rowBreaks count="3" manualBreakCount="3">
    <brk id="71" max="16383" man="1"/>
    <brk id="237" max="16383" man="1"/>
    <brk id="3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workbookViewId="0">
      <selection activeCell="C31" sqref="C31"/>
    </sheetView>
    <sheetView workbookViewId="1"/>
  </sheetViews>
  <sheetFormatPr defaultColWidth="8.90625" defaultRowHeight="13"/>
  <cols>
    <col min="1" max="1" width="8.90625" style="1"/>
    <col min="2" max="2" width="5.36328125" style="114" customWidth="1"/>
    <col min="3" max="3" width="15.08984375" bestFit="1" customWidth="1"/>
    <col min="4" max="4" width="6.08984375" bestFit="1" customWidth="1"/>
    <col min="5" max="5" width="11" style="10" bestFit="1" customWidth="1"/>
    <col min="6" max="6" width="8.90625" style="10"/>
    <col min="7" max="7" width="6.36328125" style="10" customWidth="1"/>
    <col min="8" max="8" width="8.26953125" style="96" bestFit="1" customWidth="1"/>
    <col min="9" max="9" width="6.08984375" style="96" bestFit="1" customWidth="1"/>
    <col min="10" max="10" width="6.26953125" style="2" bestFit="1" customWidth="1"/>
  </cols>
  <sheetData>
    <row r="1" spans="1:13">
      <c r="A1" s="1" t="s">
        <v>124</v>
      </c>
      <c r="B1" s="10" t="s">
        <v>49</v>
      </c>
      <c r="E1" s="92"/>
      <c r="F1" s="92"/>
    </row>
    <row r="2" spans="1:13" s="1" customFormat="1">
      <c r="B2" s="113" t="s">
        <v>41</v>
      </c>
      <c r="C2" s="1" t="s">
        <v>30</v>
      </c>
      <c r="D2" s="1" t="s">
        <v>42</v>
      </c>
      <c r="E2" s="1" t="s">
        <v>112</v>
      </c>
      <c r="F2" s="1" t="s">
        <v>113</v>
      </c>
      <c r="G2" s="92" t="s">
        <v>43</v>
      </c>
      <c r="H2" s="97" t="s">
        <v>102</v>
      </c>
      <c r="I2" s="97" t="s">
        <v>103</v>
      </c>
      <c r="J2" s="1" t="s">
        <v>110</v>
      </c>
      <c r="K2" s="1" t="s">
        <v>111</v>
      </c>
    </row>
    <row r="3" spans="1:13">
      <c r="B3" s="113">
        <v>1</v>
      </c>
      <c r="C3" t="s">
        <v>401</v>
      </c>
      <c r="D3" s="3" t="s">
        <v>29</v>
      </c>
      <c r="E3" s="92" t="s">
        <v>404</v>
      </c>
      <c r="F3" s="1" t="s">
        <v>405</v>
      </c>
      <c r="G3" s="92">
        <v>2</v>
      </c>
      <c r="H3" s="97" t="s">
        <v>407</v>
      </c>
      <c r="I3" s="97" t="s">
        <v>408</v>
      </c>
      <c r="J3" s="1" t="s">
        <v>346</v>
      </c>
      <c r="K3" s="1" t="s">
        <v>347</v>
      </c>
    </row>
    <row r="4" spans="1:13" s="108" customFormat="1">
      <c r="A4" s="98"/>
      <c r="B4" s="113">
        <v>2</v>
      </c>
      <c r="C4" t="s">
        <v>402</v>
      </c>
      <c r="D4" s="3" t="s">
        <v>8</v>
      </c>
      <c r="E4" s="92" t="s">
        <v>342</v>
      </c>
      <c r="F4" s="1" t="s">
        <v>406</v>
      </c>
      <c r="G4" s="92">
        <v>2</v>
      </c>
      <c r="H4" s="97" t="s">
        <v>191</v>
      </c>
      <c r="I4" s="97" t="s">
        <v>409</v>
      </c>
      <c r="J4" s="1" t="s">
        <v>346</v>
      </c>
      <c r="K4" s="1" t="s">
        <v>347</v>
      </c>
    </row>
    <row r="5" spans="1:13" s="108" customFormat="1">
      <c r="A5" s="98"/>
      <c r="B5" s="113">
        <v>3</v>
      </c>
      <c r="C5" t="s">
        <v>403</v>
      </c>
      <c r="D5" s="3" t="s">
        <v>8</v>
      </c>
      <c r="E5" s="92" t="s">
        <v>339</v>
      </c>
      <c r="F5" s="1" t="s">
        <v>352</v>
      </c>
      <c r="G5" s="92">
        <v>3</v>
      </c>
      <c r="H5" s="97" t="s">
        <v>228</v>
      </c>
      <c r="I5" s="97" t="s">
        <v>410</v>
      </c>
      <c r="J5" s="1" t="s">
        <v>346</v>
      </c>
      <c r="K5" s="1" t="s">
        <v>347</v>
      </c>
    </row>
    <row r="6" spans="1:13" s="108" customFormat="1">
      <c r="A6" s="98"/>
      <c r="B6" s="113">
        <v>4</v>
      </c>
      <c r="C6" s="87" t="s">
        <v>498</v>
      </c>
      <c r="D6" s="3" t="s">
        <v>8</v>
      </c>
      <c r="E6" s="92" t="s">
        <v>522</v>
      </c>
      <c r="F6" s="1" t="s">
        <v>523</v>
      </c>
      <c r="G6" s="92">
        <v>3</v>
      </c>
      <c r="H6" s="97" t="s">
        <v>525</v>
      </c>
      <c r="I6" s="97" t="s">
        <v>526</v>
      </c>
      <c r="J6" s="1" t="s">
        <v>520</v>
      </c>
      <c r="K6" s="1" t="s">
        <v>521</v>
      </c>
    </row>
    <row r="7" spans="1:13" s="108" customFormat="1">
      <c r="A7" s="98"/>
      <c r="B7" s="113">
        <v>5</v>
      </c>
      <c r="C7" s="87" t="s">
        <v>499</v>
      </c>
      <c r="D7" s="3" t="s">
        <v>8</v>
      </c>
      <c r="E7" s="92" t="s">
        <v>190</v>
      </c>
      <c r="F7" s="1" t="s">
        <v>524</v>
      </c>
      <c r="G7" s="92">
        <v>3</v>
      </c>
      <c r="H7" s="97" t="s">
        <v>527</v>
      </c>
      <c r="I7" s="97" t="s">
        <v>528</v>
      </c>
      <c r="J7" s="1" t="s">
        <v>520</v>
      </c>
      <c r="K7" s="1" t="s">
        <v>521</v>
      </c>
    </row>
    <row r="8" spans="1:13" s="108" customFormat="1">
      <c r="A8" s="98"/>
      <c r="B8" s="113">
        <v>6</v>
      </c>
      <c r="C8" s="87" t="s">
        <v>541</v>
      </c>
      <c r="D8" s="3" t="s">
        <v>8</v>
      </c>
      <c r="E8" s="92" t="s">
        <v>529</v>
      </c>
      <c r="F8" s="1" t="s">
        <v>530</v>
      </c>
      <c r="G8" s="92">
        <v>3</v>
      </c>
      <c r="H8" s="97" t="s">
        <v>533</v>
      </c>
      <c r="I8" s="97" t="s">
        <v>534</v>
      </c>
      <c r="J8" s="1" t="s">
        <v>538</v>
      </c>
      <c r="K8" s="1" t="s">
        <v>540</v>
      </c>
    </row>
    <row r="9" spans="1:13" s="108" customFormat="1">
      <c r="A9" s="98"/>
      <c r="B9" s="113">
        <v>7</v>
      </c>
      <c r="C9" s="87" t="s">
        <v>542</v>
      </c>
      <c r="D9" s="20" t="s">
        <v>8</v>
      </c>
      <c r="E9" s="92" t="s">
        <v>531</v>
      </c>
      <c r="F9" s="1" t="s">
        <v>532</v>
      </c>
      <c r="G9" s="92">
        <v>2</v>
      </c>
      <c r="H9" s="97" t="s">
        <v>535</v>
      </c>
      <c r="I9" s="97" t="s">
        <v>536</v>
      </c>
      <c r="J9" s="1" t="s">
        <v>538</v>
      </c>
      <c r="K9" s="1" t="s">
        <v>540</v>
      </c>
    </row>
    <row r="10" spans="1:13" s="108" customFormat="1">
      <c r="A10" s="98"/>
      <c r="B10" s="113">
        <v>8</v>
      </c>
      <c r="C10" s="87" t="s">
        <v>610</v>
      </c>
      <c r="D10" s="3" t="s">
        <v>24</v>
      </c>
      <c r="E10" s="92" t="s">
        <v>632</v>
      </c>
      <c r="F10" s="1" t="s">
        <v>633</v>
      </c>
      <c r="G10" s="92">
        <v>2</v>
      </c>
      <c r="H10" s="97" t="s">
        <v>640</v>
      </c>
      <c r="I10" s="97" t="s">
        <v>641</v>
      </c>
      <c r="J10" s="1" t="s">
        <v>190</v>
      </c>
      <c r="K10" s="1" t="s">
        <v>588</v>
      </c>
    </row>
    <row r="11" spans="1:13">
      <c r="B11" s="113">
        <v>9</v>
      </c>
      <c r="C11" s="87" t="s">
        <v>611</v>
      </c>
      <c r="D11" s="20" t="s">
        <v>24</v>
      </c>
      <c r="E11" s="92" t="s">
        <v>626</v>
      </c>
      <c r="F11" s="1" t="s">
        <v>627</v>
      </c>
      <c r="G11" s="92">
        <v>2</v>
      </c>
      <c r="H11" s="97" t="s">
        <v>642</v>
      </c>
      <c r="I11" s="97" t="s">
        <v>643</v>
      </c>
      <c r="J11" s="1" t="s">
        <v>638</v>
      </c>
      <c r="K11" s="1" t="s">
        <v>639</v>
      </c>
    </row>
    <row r="12" spans="1:13">
      <c r="B12" s="113">
        <v>10</v>
      </c>
      <c r="C12" s="91" t="s">
        <v>669</v>
      </c>
      <c r="D12" s="20" t="s">
        <v>24</v>
      </c>
      <c r="E12" s="92" t="s">
        <v>667</v>
      </c>
      <c r="F12" s="1" t="s">
        <v>668</v>
      </c>
      <c r="G12" s="92">
        <v>2</v>
      </c>
      <c r="H12" s="97" t="s">
        <v>670</v>
      </c>
      <c r="I12" s="97" t="s">
        <v>671</v>
      </c>
      <c r="J12" s="1" t="s">
        <v>340</v>
      </c>
      <c r="K12" s="1" t="s">
        <v>647</v>
      </c>
    </row>
    <row r="13" spans="1:13" s="107" customFormat="1">
      <c r="A13" s="181"/>
      <c r="B13" s="113">
        <v>11</v>
      </c>
      <c r="C13" s="91" t="s">
        <v>697</v>
      </c>
      <c r="D13" s="20" t="s">
        <v>24</v>
      </c>
      <c r="E13" s="92" t="s">
        <v>759</v>
      </c>
      <c r="F13" s="1" t="s">
        <v>760</v>
      </c>
      <c r="G13" s="92">
        <v>2</v>
      </c>
      <c r="H13" s="97" t="s">
        <v>761</v>
      </c>
      <c r="I13" s="97" t="s">
        <v>762</v>
      </c>
      <c r="J13" s="1" t="s">
        <v>763</v>
      </c>
      <c r="K13" s="1" t="s">
        <v>764</v>
      </c>
    </row>
    <row r="14" spans="1:13" s="107" customFormat="1">
      <c r="A14" s="181"/>
      <c r="B14" s="113">
        <v>12</v>
      </c>
      <c r="C14" s="91" t="s">
        <v>765</v>
      </c>
      <c r="D14" s="20" t="s">
        <v>8</v>
      </c>
      <c r="E14" s="92" t="s">
        <v>766</v>
      </c>
      <c r="F14" s="1" t="s">
        <v>767</v>
      </c>
      <c r="G14" s="92">
        <v>3</v>
      </c>
      <c r="H14" s="97" t="s">
        <v>810</v>
      </c>
      <c r="I14" s="97" t="s">
        <v>768</v>
      </c>
      <c r="J14" s="1" t="s">
        <v>763</v>
      </c>
      <c r="K14" s="1" t="s">
        <v>764</v>
      </c>
    </row>
    <row r="15" spans="1:13">
      <c r="B15" s="113">
        <v>13</v>
      </c>
      <c r="C15" s="91" t="s">
        <v>769</v>
      </c>
      <c r="D15" s="20" t="s">
        <v>8</v>
      </c>
      <c r="E15" s="92" t="s">
        <v>770</v>
      </c>
      <c r="F15" s="1" t="s">
        <v>771</v>
      </c>
      <c r="G15" s="92">
        <v>3</v>
      </c>
      <c r="H15" s="97" t="s">
        <v>772</v>
      </c>
      <c r="I15" s="97" t="s">
        <v>773</v>
      </c>
      <c r="J15" s="1" t="s">
        <v>763</v>
      </c>
      <c r="K15" s="1" t="s">
        <v>764</v>
      </c>
    </row>
    <row r="16" spans="1:13">
      <c r="B16" s="113">
        <v>14</v>
      </c>
      <c r="C16" s="91"/>
      <c r="D16" s="20" t="s">
        <v>8</v>
      </c>
      <c r="E16" s="92"/>
      <c r="F16" s="1"/>
      <c r="G16" s="92"/>
      <c r="H16" s="97"/>
      <c r="I16" s="97"/>
      <c r="J16" s="1"/>
      <c r="K16" s="1"/>
      <c r="M16" s="107"/>
    </row>
    <row r="17" spans="2:11">
      <c r="B17" s="113">
        <v>15</v>
      </c>
      <c r="C17" s="91"/>
      <c r="D17" s="20" t="s">
        <v>8</v>
      </c>
      <c r="E17" s="92"/>
      <c r="F17" s="1"/>
      <c r="G17" s="92"/>
      <c r="H17" s="97"/>
      <c r="I17" s="97"/>
      <c r="J17" s="1"/>
      <c r="K17" s="1"/>
    </row>
    <row r="18" spans="2:11">
      <c r="B18" s="113">
        <v>16</v>
      </c>
      <c r="C18" s="91"/>
      <c r="D18" s="20" t="s">
        <v>94</v>
      </c>
      <c r="E18" s="1"/>
      <c r="F18" s="1"/>
      <c r="G18" s="92"/>
      <c r="H18" s="97"/>
      <c r="I18" s="97"/>
      <c r="J18" s="1"/>
      <c r="K18" s="1"/>
    </row>
    <row r="19" spans="2:11">
      <c r="B19" s="113">
        <v>17</v>
      </c>
      <c r="C19" s="91"/>
      <c r="D19" s="20" t="s">
        <v>94</v>
      </c>
      <c r="E19" s="1"/>
      <c r="F19" s="1"/>
      <c r="G19" s="92"/>
      <c r="H19" s="97"/>
      <c r="I19" s="97"/>
      <c r="J19" s="1"/>
      <c r="K19" s="1"/>
    </row>
    <row r="20" spans="2:11">
      <c r="B20" s="113">
        <v>18</v>
      </c>
      <c r="C20" s="91"/>
      <c r="D20" s="3" t="s">
        <v>8</v>
      </c>
      <c r="E20" s="1"/>
      <c r="F20" s="1"/>
      <c r="G20" s="92"/>
      <c r="H20" s="97"/>
      <c r="I20" s="97"/>
      <c r="J20" s="1"/>
      <c r="K20" s="1"/>
    </row>
    <row r="21" spans="2:11">
      <c r="B21" s="113">
        <v>19</v>
      </c>
      <c r="C21" s="91"/>
      <c r="D21" s="3" t="s">
        <v>8</v>
      </c>
      <c r="E21" s="1"/>
      <c r="F21" s="1"/>
      <c r="G21" s="92"/>
      <c r="H21" s="97"/>
      <c r="I21" s="97"/>
      <c r="J21" s="1"/>
      <c r="K21" s="1"/>
    </row>
    <row r="22" spans="2:11">
      <c r="B22" s="113">
        <v>20</v>
      </c>
      <c r="C22" s="6"/>
      <c r="D22" s="3" t="s">
        <v>8</v>
      </c>
      <c r="E22" s="1"/>
      <c r="F22" s="1"/>
      <c r="G22" s="92"/>
      <c r="H22" s="97"/>
      <c r="I22" s="97"/>
      <c r="J22" s="1"/>
      <c r="K22" s="1"/>
    </row>
    <row r="23" spans="2:11">
      <c r="B23" s="113">
        <v>21</v>
      </c>
      <c r="C23" s="6"/>
      <c r="D23" s="3" t="s">
        <v>8</v>
      </c>
      <c r="E23" s="1"/>
      <c r="F23" s="1"/>
      <c r="G23" s="92"/>
      <c r="H23" s="97"/>
      <c r="I23" s="97"/>
      <c r="J23" s="1"/>
      <c r="K23" s="1"/>
    </row>
    <row r="24" spans="2:11">
      <c r="B24" s="113">
        <v>22</v>
      </c>
      <c r="C24" s="6"/>
      <c r="D24" s="3" t="s">
        <v>29</v>
      </c>
      <c r="E24" s="1"/>
      <c r="F24" s="1"/>
      <c r="G24" s="92"/>
      <c r="H24" s="97"/>
      <c r="I24" s="97"/>
      <c r="J24" s="1"/>
      <c r="K24" s="1"/>
    </row>
    <row r="25" spans="2:11">
      <c r="B25" s="113">
        <v>23</v>
      </c>
      <c r="C25" s="6"/>
      <c r="D25" s="3" t="s">
        <v>29</v>
      </c>
      <c r="E25" s="1"/>
      <c r="F25" s="1"/>
      <c r="G25" s="92"/>
      <c r="H25" s="97"/>
      <c r="I25" s="97"/>
      <c r="J25" s="1"/>
      <c r="K25" s="1"/>
    </row>
    <row r="26" spans="2:11">
      <c r="B26" s="113">
        <v>24</v>
      </c>
      <c r="C26" s="6"/>
      <c r="D26" s="3" t="s">
        <v>29</v>
      </c>
      <c r="E26" s="1"/>
      <c r="F26" s="1"/>
      <c r="G26" s="92"/>
      <c r="H26" s="97"/>
      <c r="I26" s="97"/>
      <c r="J26" s="1"/>
      <c r="K26" s="1"/>
    </row>
    <row r="27" spans="2:11">
      <c r="B27" s="113">
        <v>25</v>
      </c>
      <c r="C27" s="6"/>
      <c r="D27" s="3" t="s">
        <v>29</v>
      </c>
      <c r="E27" s="1"/>
      <c r="F27" s="1"/>
      <c r="G27" s="92"/>
      <c r="H27" s="97"/>
      <c r="I27" s="97"/>
      <c r="J27" s="1"/>
      <c r="K27" s="1"/>
    </row>
    <row r="28" spans="2:11">
      <c r="B28" s="113">
        <v>26</v>
      </c>
      <c r="C28" s="6"/>
      <c r="D28" s="3" t="s">
        <v>29</v>
      </c>
      <c r="E28" s="1"/>
      <c r="F28" s="1"/>
      <c r="G28" s="92"/>
      <c r="H28" s="97"/>
      <c r="I28" s="97"/>
      <c r="J28" s="1"/>
      <c r="K28" s="1"/>
    </row>
    <row r="29" spans="2:11">
      <c r="B29" s="113">
        <v>27</v>
      </c>
      <c r="C29" s="6"/>
      <c r="D29" s="3" t="s">
        <v>29</v>
      </c>
      <c r="E29" s="1"/>
      <c r="F29" s="1"/>
      <c r="G29" s="92"/>
      <c r="H29" s="97"/>
      <c r="I29" s="97"/>
      <c r="J29" s="1"/>
      <c r="K29" s="1"/>
    </row>
    <row r="30" spans="2:11">
      <c r="B30" s="113">
        <v>28</v>
      </c>
      <c r="C30" s="6"/>
      <c r="D30" s="3" t="s">
        <v>29</v>
      </c>
      <c r="E30" s="1"/>
      <c r="F30" s="1"/>
      <c r="G30" s="92"/>
      <c r="H30" s="97"/>
      <c r="I30" s="97"/>
      <c r="J30" s="1"/>
      <c r="K30" s="1"/>
    </row>
    <row r="31" spans="2:11">
      <c r="B31" s="113">
        <v>29</v>
      </c>
      <c r="C31" s="6"/>
      <c r="D31" s="3" t="s">
        <v>29</v>
      </c>
      <c r="E31" s="1"/>
      <c r="F31" s="1"/>
      <c r="G31" s="92"/>
      <c r="H31" s="97"/>
      <c r="I31" s="97"/>
      <c r="J31" s="1"/>
      <c r="K31" s="1"/>
    </row>
    <row r="32" spans="2:11">
      <c r="C32" s="6"/>
      <c r="D32" s="3" t="s">
        <v>29</v>
      </c>
      <c r="E32" s="1"/>
      <c r="F32" s="1"/>
      <c r="G32" s="92"/>
      <c r="H32" s="97"/>
      <c r="I32" s="97"/>
      <c r="J32" s="1"/>
      <c r="K32" s="1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</sheetData>
  <phoneticPr fontId="2"/>
  <pageMargins left="0.75" right="0.62" top="1" bottom="1" header="0.51200000000000001" footer="0.51200000000000001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3"/>
  <sheetViews>
    <sheetView topLeftCell="A4" workbookViewId="0">
      <selection activeCell="C22" sqref="C22:C29"/>
    </sheetView>
    <sheetView workbookViewId="1"/>
  </sheetViews>
  <sheetFormatPr defaultColWidth="8.90625" defaultRowHeight="13"/>
  <cols>
    <col min="1" max="1" width="8.90625" style="98"/>
    <col min="2" max="2" width="8.08984375" style="114" bestFit="1" customWidth="1"/>
    <col min="3" max="3" width="16.36328125" style="2" bestFit="1" customWidth="1"/>
    <col min="4" max="4" width="5.6328125" bestFit="1" customWidth="1"/>
    <col min="5" max="5" width="11" style="1" bestFit="1" customWidth="1"/>
    <col min="6" max="6" width="8.6328125" style="1" customWidth="1"/>
    <col min="7" max="7" width="5" bestFit="1" customWidth="1"/>
    <col min="8" max="8" width="8" style="100" bestFit="1" customWidth="1"/>
    <col min="9" max="9" width="7.26953125" style="100" bestFit="1" customWidth="1"/>
    <col min="10" max="10" width="8.26953125" bestFit="1" customWidth="1"/>
  </cols>
  <sheetData>
    <row r="1" spans="1:19">
      <c r="A1" s="92" t="s">
        <v>124</v>
      </c>
      <c r="B1" s="92" t="s">
        <v>28</v>
      </c>
      <c r="D1" s="1"/>
      <c r="G1" s="1"/>
      <c r="H1" s="99"/>
      <c r="I1" s="99"/>
      <c r="J1" s="1"/>
    </row>
    <row r="2" spans="1:19">
      <c r="B2" s="92" t="s">
        <v>41</v>
      </c>
      <c r="C2" s="2" t="s">
        <v>30</v>
      </c>
      <c r="D2" s="1" t="s">
        <v>42</v>
      </c>
      <c r="E2" s="1" t="s">
        <v>112</v>
      </c>
      <c r="F2" s="1" t="s">
        <v>113</v>
      </c>
      <c r="G2" s="1" t="s">
        <v>43</v>
      </c>
      <c r="H2" s="99" t="s">
        <v>102</v>
      </c>
      <c r="I2" s="99" t="s">
        <v>104</v>
      </c>
      <c r="J2" s="1" t="s">
        <v>110</v>
      </c>
      <c r="K2" s="1" t="s">
        <v>111</v>
      </c>
    </row>
    <row r="3" spans="1:19">
      <c r="B3" s="92">
        <v>1</v>
      </c>
      <c r="C3" s="2" t="s">
        <v>390</v>
      </c>
      <c r="D3" s="3" t="s">
        <v>31</v>
      </c>
      <c r="E3" s="3" t="s">
        <v>391</v>
      </c>
      <c r="F3" s="3" t="s">
        <v>392</v>
      </c>
      <c r="G3" s="3">
        <v>2</v>
      </c>
      <c r="H3" s="99" t="s">
        <v>393</v>
      </c>
      <c r="I3" s="99" t="s">
        <v>394</v>
      </c>
      <c r="J3" s="1" t="s">
        <v>346</v>
      </c>
      <c r="K3" s="1" t="s">
        <v>347</v>
      </c>
    </row>
    <row r="4" spans="1:19">
      <c r="B4" s="92">
        <v>2</v>
      </c>
      <c r="C4" s="2" t="s">
        <v>419</v>
      </c>
      <c r="D4" s="3" t="s">
        <v>31</v>
      </c>
      <c r="E4" s="1" t="s">
        <v>423</v>
      </c>
      <c r="F4" s="1" t="s">
        <v>424</v>
      </c>
      <c r="G4" s="9">
        <v>3</v>
      </c>
      <c r="H4" s="99" t="s">
        <v>425</v>
      </c>
      <c r="I4" s="99" t="s">
        <v>426</v>
      </c>
      <c r="J4" s="1" t="s">
        <v>437</v>
      </c>
      <c r="K4" s="1" t="s">
        <v>438</v>
      </c>
    </row>
    <row r="5" spans="1:19">
      <c r="B5" s="92">
        <v>3</v>
      </c>
      <c r="C5" s="2" t="s">
        <v>420</v>
      </c>
      <c r="D5" s="3" t="s">
        <v>8</v>
      </c>
      <c r="E5" s="3" t="s">
        <v>427</v>
      </c>
      <c r="F5" s="3" t="s">
        <v>428</v>
      </c>
      <c r="G5" s="3">
        <v>3</v>
      </c>
      <c r="H5" s="99" t="s">
        <v>226</v>
      </c>
      <c r="I5" s="99" t="s">
        <v>227</v>
      </c>
      <c r="J5" s="1" t="s">
        <v>437</v>
      </c>
      <c r="K5" s="1" t="s">
        <v>438</v>
      </c>
    </row>
    <row r="6" spans="1:19" s="107" customFormat="1">
      <c r="A6" s="98"/>
      <c r="B6" s="113">
        <v>4</v>
      </c>
      <c r="C6" s="2" t="s">
        <v>421</v>
      </c>
      <c r="D6" s="3" t="s">
        <v>8</v>
      </c>
      <c r="E6" s="3" t="s">
        <v>429</v>
      </c>
      <c r="F6" s="3" t="s">
        <v>430</v>
      </c>
      <c r="G6" s="3">
        <v>3</v>
      </c>
      <c r="H6" s="99" t="s">
        <v>431</v>
      </c>
      <c r="I6" s="99" t="s">
        <v>432</v>
      </c>
      <c r="J6" s="1" t="s">
        <v>437</v>
      </c>
      <c r="K6" s="1" t="s">
        <v>438</v>
      </c>
    </row>
    <row r="7" spans="1:19" s="107" customFormat="1">
      <c r="A7" s="98"/>
      <c r="B7" s="113">
        <v>5</v>
      </c>
      <c r="C7" s="2" t="s">
        <v>422</v>
      </c>
      <c r="D7" s="3" t="s">
        <v>8</v>
      </c>
      <c r="E7" s="1" t="s">
        <v>433</v>
      </c>
      <c r="F7" s="1" t="s">
        <v>434</v>
      </c>
      <c r="G7" s="9">
        <v>2</v>
      </c>
      <c r="H7" s="99" t="s">
        <v>435</v>
      </c>
      <c r="I7" s="99" t="s">
        <v>436</v>
      </c>
      <c r="J7" s="1" t="s">
        <v>437</v>
      </c>
      <c r="K7" s="1" t="s">
        <v>438</v>
      </c>
    </row>
    <row r="8" spans="1:19" s="107" customFormat="1">
      <c r="A8" s="98"/>
      <c r="B8" s="113">
        <v>6</v>
      </c>
      <c r="C8" s="2" t="s">
        <v>455</v>
      </c>
      <c r="D8" s="3" t="s">
        <v>8</v>
      </c>
      <c r="E8" s="1" t="s">
        <v>345</v>
      </c>
      <c r="F8" s="1" t="s">
        <v>444</v>
      </c>
      <c r="G8" s="9">
        <v>2</v>
      </c>
      <c r="H8" s="99" t="s">
        <v>445</v>
      </c>
      <c r="I8" s="99" t="s">
        <v>446</v>
      </c>
      <c r="J8" s="1" t="s">
        <v>190</v>
      </c>
      <c r="K8" s="1" t="s">
        <v>354</v>
      </c>
    </row>
    <row r="9" spans="1:19" s="107" customFormat="1">
      <c r="A9" s="98"/>
      <c r="B9" s="113">
        <v>7</v>
      </c>
      <c r="C9" s="2" t="s">
        <v>456</v>
      </c>
      <c r="D9" s="3" t="s">
        <v>8</v>
      </c>
      <c r="E9" s="3" t="s">
        <v>447</v>
      </c>
      <c r="F9" s="3" t="s">
        <v>448</v>
      </c>
      <c r="G9" s="3">
        <v>2</v>
      </c>
      <c r="H9" s="99" t="s">
        <v>451</v>
      </c>
      <c r="I9" s="99" t="s">
        <v>452</v>
      </c>
      <c r="J9" s="1" t="s">
        <v>190</v>
      </c>
      <c r="K9" s="1" t="s">
        <v>354</v>
      </c>
    </row>
    <row r="10" spans="1:19">
      <c r="B10" s="92">
        <v>8</v>
      </c>
      <c r="C10" s="2" t="s">
        <v>457</v>
      </c>
      <c r="D10" s="3" t="s">
        <v>8</v>
      </c>
      <c r="E10" s="3" t="s">
        <v>449</v>
      </c>
      <c r="F10" s="3" t="s">
        <v>450</v>
      </c>
      <c r="G10" s="3">
        <v>2</v>
      </c>
      <c r="H10" s="99" t="s">
        <v>453</v>
      </c>
      <c r="I10" s="99" t="s">
        <v>454</v>
      </c>
      <c r="J10" s="1" t="s">
        <v>190</v>
      </c>
      <c r="K10" s="1" t="s">
        <v>354</v>
      </c>
      <c r="L10" s="1"/>
    </row>
    <row r="11" spans="1:19">
      <c r="B11" s="92">
        <v>9</v>
      </c>
      <c r="C11" s="2" t="s">
        <v>487</v>
      </c>
      <c r="D11" s="3" t="s">
        <v>8</v>
      </c>
      <c r="E11" s="1" t="s">
        <v>355</v>
      </c>
      <c r="F11" s="1" t="s">
        <v>356</v>
      </c>
      <c r="G11" s="9">
        <v>3</v>
      </c>
      <c r="H11" s="99" t="s">
        <v>229</v>
      </c>
      <c r="I11" s="99" t="s">
        <v>230</v>
      </c>
      <c r="J11" s="1" t="s">
        <v>485</v>
      </c>
      <c r="K11" s="1" t="s">
        <v>486</v>
      </c>
      <c r="L11" s="1"/>
    </row>
    <row r="12" spans="1:19" s="107" customFormat="1">
      <c r="A12" s="98"/>
      <c r="B12" s="113">
        <v>10</v>
      </c>
      <c r="C12" s="2" t="s">
        <v>488</v>
      </c>
      <c r="D12" s="3" t="s">
        <v>8</v>
      </c>
      <c r="E12" s="3" t="s">
        <v>360</v>
      </c>
      <c r="F12" s="3" t="s">
        <v>458</v>
      </c>
      <c r="G12" s="3">
        <v>3</v>
      </c>
      <c r="H12" s="99" t="s">
        <v>361</v>
      </c>
      <c r="I12" s="99" t="s">
        <v>362</v>
      </c>
      <c r="J12" s="1" t="s">
        <v>485</v>
      </c>
      <c r="K12" s="1" t="s">
        <v>486</v>
      </c>
      <c r="L12" s="98"/>
    </row>
    <row r="13" spans="1:19">
      <c r="B13" s="92">
        <v>11</v>
      </c>
      <c r="C13" s="2" t="s">
        <v>489</v>
      </c>
      <c r="D13" s="3" t="s">
        <v>24</v>
      </c>
      <c r="E13" s="3" t="s">
        <v>459</v>
      </c>
      <c r="F13" s="1" t="s">
        <v>460</v>
      </c>
      <c r="G13" s="1">
        <v>3</v>
      </c>
      <c r="H13" s="99" t="s">
        <v>484</v>
      </c>
      <c r="I13" s="99" t="s">
        <v>481</v>
      </c>
      <c r="J13" s="1" t="s">
        <v>485</v>
      </c>
      <c r="K13" s="1" t="s">
        <v>486</v>
      </c>
      <c r="L13" s="1"/>
    </row>
    <row r="14" spans="1:19">
      <c r="B14" s="92">
        <v>12</v>
      </c>
      <c r="C14" s="2" t="s">
        <v>490</v>
      </c>
      <c r="D14" s="3" t="s">
        <v>8</v>
      </c>
      <c r="E14" s="9" t="s">
        <v>363</v>
      </c>
      <c r="F14" s="9" t="s">
        <v>461</v>
      </c>
      <c r="G14" s="3">
        <v>3</v>
      </c>
      <c r="H14" s="99" t="s">
        <v>364</v>
      </c>
      <c r="I14" s="99" t="s">
        <v>365</v>
      </c>
      <c r="J14" s="1" t="s">
        <v>485</v>
      </c>
      <c r="K14" s="1" t="s">
        <v>486</v>
      </c>
      <c r="L14" s="3"/>
    </row>
    <row r="15" spans="1:19" s="107" customFormat="1">
      <c r="A15" s="98"/>
      <c r="B15" s="113">
        <v>13</v>
      </c>
      <c r="C15" s="2" t="s">
        <v>491</v>
      </c>
      <c r="D15" s="1" t="s">
        <v>8</v>
      </c>
      <c r="E15" s="1" t="s">
        <v>340</v>
      </c>
      <c r="F15" s="1" t="s">
        <v>357</v>
      </c>
      <c r="G15" s="1">
        <v>3</v>
      </c>
      <c r="H15" s="99" t="s">
        <v>482</v>
      </c>
      <c r="I15" s="99" t="s">
        <v>483</v>
      </c>
      <c r="J15" s="1" t="s">
        <v>485</v>
      </c>
      <c r="K15" s="1" t="s">
        <v>486</v>
      </c>
      <c r="L15" s="106"/>
    </row>
    <row r="16" spans="1:19" s="107" customFormat="1">
      <c r="A16" s="98"/>
      <c r="B16" s="113">
        <v>14</v>
      </c>
      <c r="C16" s="2" t="s">
        <v>492</v>
      </c>
      <c r="D16" s="3" t="s">
        <v>24</v>
      </c>
      <c r="E16" s="3" t="s">
        <v>359</v>
      </c>
      <c r="F16" s="3" t="s">
        <v>462</v>
      </c>
      <c r="G16" s="3">
        <v>3</v>
      </c>
      <c r="H16" s="99" t="s">
        <v>480</v>
      </c>
      <c r="I16" s="99" t="s">
        <v>481</v>
      </c>
      <c r="J16" s="1" t="s">
        <v>485</v>
      </c>
      <c r="K16" s="1" t="s">
        <v>486</v>
      </c>
      <c r="L16" s="106"/>
      <c r="M16" s="106"/>
      <c r="N16" s="98"/>
      <c r="O16" s="98"/>
      <c r="P16" s="98"/>
      <c r="Q16" s="98"/>
      <c r="R16" s="98"/>
      <c r="S16" s="98"/>
    </row>
    <row r="17" spans="1:19" s="107" customFormat="1">
      <c r="A17" s="98"/>
      <c r="B17" s="113">
        <v>15</v>
      </c>
      <c r="C17" s="2" t="s">
        <v>493</v>
      </c>
      <c r="D17" s="3" t="s">
        <v>24</v>
      </c>
      <c r="E17" s="1" t="s">
        <v>358</v>
      </c>
      <c r="F17" s="1" t="s">
        <v>463</v>
      </c>
      <c r="G17" s="1">
        <v>3</v>
      </c>
      <c r="H17" s="99" t="s">
        <v>478</v>
      </c>
      <c r="I17" s="99" t="s">
        <v>479</v>
      </c>
      <c r="J17" s="1" t="s">
        <v>485</v>
      </c>
      <c r="K17" s="1" t="s">
        <v>486</v>
      </c>
      <c r="L17" s="98"/>
      <c r="M17" s="106"/>
      <c r="N17" s="98"/>
      <c r="O17" s="98"/>
      <c r="P17" s="98"/>
      <c r="Q17" s="98"/>
      <c r="R17" s="98"/>
      <c r="S17" s="98"/>
    </row>
    <row r="18" spans="1:19">
      <c r="B18" s="92">
        <v>16</v>
      </c>
      <c r="C18" s="2" t="s">
        <v>494</v>
      </c>
      <c r="D18" s="3" t="s">
        <v>8</v>
      </c>
      <c r="E18" s="1" t="s">
        <v>464</v>
      </c>
      <c r="F18" s="1" t="s">
        <v>465</v>
      </c>
      <c r="G18" s="1">
        <v>3</v>
      </c>
      <c r="H18" s="99" t="s">
        <v>366</v>
      </c>
      <c r="I18" s="99" t="s">
        <v>367</v>
      </c>
      <c r="J18" s="1" t="s">
        <v>485</v>
      </c>
      <c r="K18" s="1" t="s">
        <v>486</v>
      </c>
      <c r="L18" s="3"/>
      <c r="M18" s="3"/>
      <c r="N18" s="1"/>
      <c r="O18" s="1"/>
      <c r="P18" s="1"/>
      <c r="Q18" s="1"/>
      <c r="R18" s="1"/>
      <c r="S18" s="1"/>
    </row>
    <row r="19" spans="1:19">
      <c r="B19" s="92">
        <v>17</v>
      </c>
      <c r="C19" s="2" t="s">
        <v>495</v>
      </c>
      <c r="D19" s="3" t="s">
        <v>8</v>
      </c>
      <c r="E19" s="1" t="s">
        <v>466</v>
      </c>
      <c r="F19" s="1" t="s">
        <v>467</v>
      </c>
      <c r="G19" s="9">
        <v>2</v>
      </c>
      <c r="H19" s="99" t="s">
        <v>476</v>
      </c>
      <c r="I19" s="99" t="s">
        <v>477</v>
      </c>
      <c r="J19" s="1" t="s">
        <v>485</v>
      </c>
      <c r="K19" s="1" t="s">
        <v>486</v>
      </c>
    </row>
    <row r="20" spans="1:19" s="107" customFormat="1">
      <c r="A20" s="98"/>
      <c r="B20" s="113">
        <v>18</v>
      </c>
      <c r="C20" s="2" t="s">
        <v>496</v>
      </c>
      <c r="D20" s="3" t="s">
        <v>8</v>
      </c>
      <c r="E20" s="3" t="s">
        <v>468</v>
      </c>
      <c r="F20" s="3" t="s">
        <v>469</v>
      </c>
      <c r="G20" s="78">
        <v>2</v>
      </c>
      <c r="H20" s="99" t="s">
        <v>474</v>
      </c>
      <c r="I20" s="99" t="s">
        <v>475</v>
      </c>
      <c r="J20" s="1" t="s">
        <v>485</v>
      </c>
      <c r="K20" s="1" t="s">
        <v>486</v>
      </c>
      <c r="L20" s="9"/>
    </row>
    <row r="21" spans="1:19">
      <c r="B21" s="92">
        <v>19</v>
      </c>
      <c r="C21" s="2" t="s">
        <v>497</v>
      </c>
      <c r="D21" s="3" t="s">
        <v>8</v>
      </c>
      <c r="E21" s="3" t="s">
        <v>470</v>
      </c>
      <c r="F21" s="3" t="s">
        <v>471</v>
      </c>
      <c r="G21" s="3">
        <v>2</v>
      </c>
      <c r="H21" s="99" t="s">
        <v>472</v>
      </c>
      <c r="I21" s="99" t="s">
        <v>473</v>
      </c>
      <c r="J21" s="1" t="s">
        <v>485</v>
      </c>
      <c r="K21" s="1" t="s">
        <v>486</v>
      </c>
    </row>
    <row r="22" spans="1:19" s="107" customFormat="1">
      <c r="A22" s="98"/>
      <c r="B22" s="113">
        <v>20</v>
      </c>
      <c r="C22" s="90" t="s">
        <v>541</v>
      </c>
      <c r="D22" s="3" t="s">
        <v>8</v>
      </c>
      <c r="E22" s="1" t="s">
        <v>190</v>
      </c>
      <c r="F22" s="1" t="s">
        <v>543</v>
      </c>
      <c r="G22" s="3">
        <v>3</v>
      </c>
      <c r="H22" s="99" t="s">
        <v>527</v>
      </c>
      <c r="I22" s="99" t="s">
        <v>570</v>
      </c>
      <c r="J22" s="1" t="s">
        <v>537</v>
      </c>
      <c r="K22" s="1" t="s">
        <v>539</v>
      </c>
    </row>
    <row r="23" spans="1:19">
      <c r="B23" s="92">
        <v>21</v>
      </c>
      <c r="C23" s="90" t="s">
        <v>542</v>
      </c>
      <c r="D23" s="3" t="s">
        <v>8</v>
      </c>
      <c r="E23" s="3" t="s">
        <v>544</v>
      </c>
      <c r="F23" s="3" t="s">
        <v>545</v>
      </c>
      <c r="G23" s="1">
        <v>3</v>
      </c>
      <c r="H23" s="99" t="s">
        <v>568</v>
      </c>
      <c r="I23" s="99" t="s">
        <v>569</v>
      </c>
      <c r="J23" s="1" t="s">
        <v>537</v>
      </c>
      <c r="K23" s="1" t="s">
        <v>539</v>
      </c>
    </row>
    <row r="24" spans="1:19" s="107" customFormat="1">
      <c r="A24" s="98"/>
      <c r="B24" s="113">
        <v>22</v>
      </c>
      <c r="C24" s="90" t="s">
        <v>571</v>
      </c>
      <c r="D24" s="3" t="s">
        <v>24</v>
      </c>
      <c r="E24" s="3" t="s">
        <v>190</v>
      </c>
      <c r="F24" s="3" t="s">
        <v>546</v>
      </c>
      <c r="G24" s="1">
        <v>3</v>
      </c>
      <c r="H24" s="99" t="s">
        <v>527</v>
      </c>
      <c r="I24" s="99" t="s">
        <v>567</v>
      </c>
      <c r="J24" s="1" t="s">
        <v>537</v>
      </c>
      <c r="K24" s="1" t="s">
        <v>539</v>
      </c>
      <c r="L24" s="98"/>
    </row>
    <row r="25" spans="1:19">
      <c r="B25" s="92">
        <v>23</v>
      </c>
      <c r="C25" s="90" t="s">
        <v>572</v>
      </c>
      <c r="D25" s="3" t="s">
        <v>24</v>
      </c>
      <c r="E25" s="3" t="s">
        <v>547</v>
      </c>
      <c r="F25" s="3" t="s">
        <v>548</v>
      </c>
      <c r="G25" s="3">
        <v>3</v>
      </c>
      <c r="H25" s="99" t="s">
        <v>565</v>
      </c>
      <c r="I25" s="99" t="s">
        <v>566</v>
      </c>
      <c r="J25" s="1" t="s">
        <v>537</v>
      </c>
      <c r="K25" s="1" t="s">
        <v>539</v>
      </c>
      <c r="L25" s="3"/>
    </row>
    <row r="26" spans="1:19">
      <c r="B26" s="92">
        <v>24</v>
      </c>
      <c r="C26" s="90" t="s">
        <v>573</v>
      </c>
      <c r="D26" s="3" t="s">
        <v>24</v>
      </c>
      <c r="E26" s="3" t="s">
        <v>549</v>
      </c>
      <c r="F26" s="3" t="s">
        <v>550</v>
      </c>
      <c r="G26" s="3">
        <v>2</v>
      </c>
      <c r="H26" s="99" t="s">
        <v>563</v>
      </c>
      <c r="I26" s="99" t="s">
        <v>564</v>
      </c>
      <c r="J26" s="1" t="s">
        <v>537</v>
      </c>
      <c r="K26" s="1" t="s">
        <v>539</v>
      </c>
      <c r="L26" s="3"/>
    </row>
    <row r="27" spans="1:19">
      <c r="B27" s="92">
        <v>25</v>
      </c>
      <c r="C27" s="90" t="s">
        <v>574</v>
      </c>
      <c r="D27" s="3" t="s">
        <v>24</v>
      </c>
      <c r="E27" s="3" t="s">
        <v>551</v>
      </c>
      <c r="F27" s="1" t="s">
        <v>552</v>
      </c>
      <c r="G27" s="1">
        <v>2</v>
      </c>
      <c r="H27" s="99" t="s">
        <v>561</v>
      </c>
      <c r="I27" s="99" t="s">
        <v>562</v>
      </c>
      <c r="J27" s="1" t="s">
        <v>537</v>
      </c>
      <c r="K27" s="1" t="s">
        <v>539</v>
      </c>
    </row>
    <row r="28" spans="1:19">
      <c r="B28" s="92">
        <v>26</v>
      </c>
      <c r="C28" s="90" t="s">
        <v>575</v>
      </c>
      <c r="D28" s="3" t="s">
        <v>8</v>
      </c>
      <c r="E28" s="1" t="s">
        <v>553</v>
      </c>
      <c r="F28" s="1" t="s">
        <v>554</v>
      </c>
      <c r="G28" s="1">
        <v>2</v>
      </c>
      <c r="H28" s="99" t="s">
        <v>559</v>
      </c>
      <c r="I28" s="99" t="s">
        <v>560</v>
      </c>
      <c r="J28" s="1" t="s">
        <v>537</v>
      </c>
      <c r="K28" s="1" t="s">
        <v>539</v>
      </c>
    </row>
    <row r="29" spans="1:19">
      <c r="B29" s="92">
        <v>27</v>
      </c>
      <c r="C29" s="90" t="s">
        <v>576</v>
      </c>
      <c r="D29" s="3" t="s">
        <v>8</v>
      </c>
      <c r="E29" s="1" t="s">
        <v>555</v>
      </c>
      <c r="F29" s="1" t="s">
        <v>556</v>
      </c>
      <c r="G29" s="1">
        <v>2</v>
      </c>
      <c r="H29" s="99" t="s">
        <v>557</v>
      </c>
      <c r="I29" s="99" t="s">
        <v>558</v>
      </c>
      <c r="J29" s="1" t="s">
        <v>537</v>
      </c>
      <c r="K29" s="1" t="s">
        <v>539</v>
      </c>
    </row>
    <row r="30" spans="1:19">
      <c r="B30" s="92">
        <v>28</v>
      </c>
      <c r="C30" s="90" t="s">
        <v>610</v>
      </c>
      <c r="D30" s="3" t="s">
        <v>8</v>
      </c>
      <c r="E30" s="1" t="s">
        <v>593</v>
      </c>
      <c r="F30" s="1" t="s">
        <v>594</v>
      </c>
      <c r="G30" s="1">
        <v>3</v>
      </c>
      <c r="H30" s="99" t="s">
        <v>612</v>
      </c>
      <c r="I30" s="99" t="s">
        <v>613</v>
      </c>
      <c r="J30" s="1" t="s">
        <v>190</v>
      </c>
      <c r="K30" s="1" t="s">
        <v>588</v>
      </c>
    </row>
    <row r="31" spans="1:19">
      <c r="B31" s="92">
        <v>29</v>
      </c>
      <c r="C31" s="90" t="s">
        <v>611</v>
      </c>
      <c r="D31" s="3" t="s">
        <v>8</v>
      </c>
      <c r="E31" s="1" t="s">
        <v>603</v>
      </c>
      <c r="F31" s="1" t="s">
        <v>604</v>
      </c>
      <c r="G31" s="1">
        <v>2</v>
      </c>
      <c r="H31" s="99" t="s">
        <v>614</v>
      </c>
      <c r="I31" s="99" t="s">
        <v>615</v>
      </c>
      <c r="J31" s="1" t="s">
        <v>190</v>
      </c>
      <c r="K31" s="1" t="s">
        <v>608</v>
      </c>
    </row>
    <row r="32" spans="1:19">
      <c r="B32" s="92">
        <v>30</v>
      </c>
      <c r="C32" s="90" t="s">
        <v>663</v>
      </c>
      <c r="D32" s="3" t="s">
        <v>8</v>
      </c>
      <c r="E32" s="1" t="s">
        <v>649</v>
      </c>
      <c r="F32" s="1" t="s">
        <v>650</v>
      </c>
      <c r="G32" s="1">
        <v>3</v>
      </c>
      <c r="H32" s="99" t="s">
        <v>657</v>
      </c>
      <c r="I32" s="99" t="s">
        <v>658</v>
      </c>
      <c r="J32" s="1" t="s">
        <v>340</v>
      </c>
      <c r="K32" s="1" t="s">
        <v>647</v>
      </c>
      <c r="L32" s="1"/>
    </row>
    <row r="33" spans="1:12">
      <c r="B33" s="92">
        <v>31</v>
      </c>
      <c r="C33" s="90" t="s">
        <v>664</v>
      </c>
      <c r="D33" s="3" t="s">
        <v>8</v>
      </c>
      <c r="E33" s="1" t="s">
        <v>651</v>
      </c>
      <c r="F33" s="1" t="s">
        <v>652</v>
      </c>
      <c r="G33" s="1">
        <v>3</v>
      </c>
      <c r="H33" s="99" t="s">
        <v>659</v>
      </c>
      <c r="I33" s="99" t="s">
        <v>660</v>
      </c>
      <c r="J33" s="1" t="s">
        <v>340</v>
      </c>
      <c r="K33" s="1" t="s">
        <v>647</v>
      </c>
      <c r="L33" s="3"/>
    </row>
    <row r="34" spans="1:12">
      <c r="B34" s="92">
        <v>32</v>
      </c>
      <c r="C34" s="90" t="s">
        <v>665</v>
      </c>
      <c r="D34" s="3" t="s">
        <v>8</v>
      </c>
      <c r="E34" s="1" t="s">
        <v>653</v>
      </c>
      <c r="F34" s="1" t="s">
        <v>654</v>
      </c>
      <c r="G34" s="1">
        <v>2</v>
      </c>
      <c r="H34" s="99" t="s">
        <v>661</v>
      </c>
      <c r="I34" s="99" t="s">
        <v>662</v>
      </c>
      <c r="J34" s="1" t="s">
        <v>340</v>
      </c>
      <c r="K34" s="1" t="s">
        <v>647</v>
      </c>
      <c r="L34" s="3"/>
    </row>
    <row r="35" spans="1:12">
      <c r="B35" s="92">
        <v>33</v>
      </c>
      <c r="C35" s="90" t="s">
        <v>666</v>
      </c>
      <c r="D35" s="3" t="s">
        <v>8</v>
      </c>
      <c r="E35" s="1" t="s">
        <v>655</v>
      </c>
      <c r="F35" s="1" t="s">
        <v>656</v>
      </c>
      <c r="G35" s="1">
        <v>2</v>
      </c>
      <c r="H35" s="99" t="s">
        <v>655</v>
      </c>
      <c r="I35" s="99" t="s">
        <v>656</v>
      </c>
      <c r="J35" s="1" t="s">
        <v>340</v>
      </c>
      <c r="K35" s="1" t="s">
        <v>647</v>
      </c>
    </row>
    <row r="36" spans="1:12">
      <c r="B36" s="92">
        <v>34</v>
      </c>
      <c r="C36" s="2" t="s">
        <v>722</v>
      </c>
      <c r="D36" s="3" t="s">
        <v>8</v>
      </c>
      <c r="E36" s="1" t="s">
        <v>692</v>
      </c>
      <c r="F36" s="1" t="s">
        <v>693</v>
      </c>
      <c r="G36" s="1">
        <v>2</v>
      </c>
      <c r="H36" s="99" t="s">
        <v>723</v>
      </c>
      <c r="I36" s="99" t="s">
        <v>724</v>
      </c>
      <c r="J36" s="1" t="s">
        <v>695</v>
      </c>
      <c r="K36" s="1" t="s">
        <v>696</v>
      </c>
    </row>
    <row r="37" spans="1:12">
      <c r="B37" s="92">
        <v>35</v>
      </c>
      <c r="C37" s="2" t="s">
        <v>725</v>
      </c>
      <c r="D37" s="3" t="s">
        <v>8</v>
      </c>
      <c r="E37" s="3" t="s">
        <v>707</v>
      </c>
      <c r="F37" s="3" t="s">
        <v>708</v>
      </c>
      <c r="G37" s="3">
        <v>2</v>
      </c>
      <c r="H37" s="99" t="s">
        <v>726</v>
      </c>
      <c r="I37" s="99" t="s">
        <v>727</v>
      </c>
      <c r="J37" s="1" t="s">
        <v>695</v>
      </c>
      <c r="K37" s="1" t="s">
        <v>696</v>
      </c>
    </row>
    <row r="38" spans="1:12">
      <c r="B38" s="92">
        <v>36</v>
      </c>
      <c r="C38" s="2" t="s">
        <v>709</v>
      </c>
      <c r="D38" s="3" t="s">
        <v>8</v>
      </c>
      <c r="E38" s="1" t="s">
        <v>700</v>
      </c>
      <c r="F38" s="1" t="s">
        <v>701</v>
      </c>
      <c r="G38" s="1">
        <v>2</v>
      </c>
      <c r="H38" s="99" t="s">
        <v>728</v>
      </c>
      <c r="I38" s="99" t="s">
        <v>729</v>
      </c>
      <c r="J38" s="1" t="s">
        <v>695</v>
      </c>
      <c r="K38" s="1" t="s">
        <v>696</v>
      </c>
    </row>
    <row r="39" spans="1:12" s="107" customFormat="1">
      <c r="A39" s="98"/>
      <c r="B39" s="113">
        <v>37</v>
      </c>
      <c r="C39" s="2" t="s">
        <v>716</v>
      </c>
      <c r="D39" s="3" t="s">
        <v>8</v>
      </c>
      <c r="E39" s="12" t="s">
        <v>714</v>
      </c>
      <c r="F39" s="12" t="s">
        <v>715</v>
      </c>
      <c r="G39" s="92">
        <v>2</v>
      </c>
      <c r="H39" s="99" t="s">
        <v>730</v>
      </c>
      <c r="I39" s="99" t="s">
        <v>731</v>
      </c>
      <c r="J39" s="1" t="s">
        <v>695</v>
      </c>
      <c r="K39" s="1" t="s">
        <v>696</v>
      </c>
    </row>
    <row r="40" spans="1:12" s="107" customFormat="1">
      <c r="A40" s="98"/>
      <c r="B40" s="113">
        <v>38</v>
      </c>
      <c r="C40" s="2" t="s">
        <v>732</v>
      </c>
      <c r="D40" s="3" t="s">
        <v>8</v>
      </c>
      <c r="E40" s="92" t="s">
        <v>720</v>
      </c>
      <c r="F40" s="92" t="s">
        <v>721</v>
      </c>
      <c r="G40" s="92">
        <v>2</v>
      </c>
      <c r="H40" s="99" t="s">
        <v>733</v>
      </c>
      <c r="I40" s="99" t="s">
        <v>734</v>
      </c>
      <c r="J40" s="1" t="s">
        <v>695</v>
      </c>
      <c r="K40" s="1" t="s">
        <v>696</v>
      </c>
    </row>
    <row r="41" spans="1:12" s="107" customFormat="1">
      <c r="A41" s="98"/>
      <c r="B41" s="113">
        <v>39</v>
      </c>
      <c r="C41" s="340" t="s">
        <v>735</v>
      </c>
      <c r="D41" s="3" t="s">
        <v>8</v>
      </c>
      <c r="E41" s="98" t="s">
        <v>736</v>
      </c>
      <c r="F41" s="98" t="s">
        <v>737</v>
      </c>
      <c r="G41" s="98">
        <v>3</v>
      </c>
      <c r="H41" s="99" t="s">
        <v>738</v>
      </c>
      <c r="I41" s="99" t="s">
        <v>739</v>
      </c>
      <c r="J41" s="1" t="s">
        <v>740</v>
      </c>
      <c r="K41" s="1" t="s">
        <v>741</v>
      </c>
    </row>
    <row r="42" spans="1:12">
      <c r="B42" s="92">
        <v>40</v>
      </c>
      <c r="C42" s="340" t="s">
        <v>742</v>
      </c>
      <c r="D42" s="3" t="s">
        <v>8</v>
      </c>
      <c r="E42" s="1" t="s">
        <v>743</v>
      </c>
      <c r="F42" s="1" t="s">
        <v>744</v>
      </c>
      <c r="G42" s="92">
        <v>3</v>
      </c>
      <c r="H42" s="99" t="s">
        <v>745</v>
      </c>
      <c r="I42" s="99" t="s">
        <v>746</v>
      </c>
      <c r="J42" s="1" t="s">
        <v>740</v>
      </c>
      <c r="K42" s="1" t="s">
        <v>741</v>
      </c>
    </row>
    <row r="43" spans="1:12">
      <c r="B43" s="92">
        <v>41</v>
      </c>
      <c r="C43" s="340" t="s">
        <v>747</v>
      </c>
      <c r="D43" s="3" t="s">
        <v>8</v>
      </c>
      <c r="E43" s="1" t="s">
        <v>748</v>
      </c>
      <c r="F43" s="1" t="s">
        <v>749</v>
      </c>
      <c r="G43" s="92">
        <v>2</v>
      </c>
      <c r="H43" s="99" t="s">
        <v>750</v>
      </c>
      <c r="I43" s="99" t="s">
        <v>751</v>
      </c>
      <c r="J43" s="1" t="s">
        <v>752</v>
      </c>
      <c r="K43" s="1" t="s">
        <v>753</v>
      </c>
    </row>
    <row r="44" spans="1:12">
      <c r="B44" s="92">
        <v>42</v>
      </c>
      <c r="C44" s="340" t="s">
        <v>754</v>
      </c>
      <c r="D44" s="3" t="s">
        <v>8</v>
      </c>
      <c r="E44" s="1" t="s">
        <v>755</v>
      </c>
      <c r="F44" s="1" t="s">
        <v>756</v>
      </c>
      <c r="G44" s="92">
        <v>2</v>
      </c>
      <c r="H44" s="100" t="s">
        <v>757</v>
      </c>
      <c r="I44" s="100" t="s">
        <v>758</v>
      </c>
      <c r="J44" s="1" t="s">
        <v>752</v>
      </c>
      <c r="K44" s="1" t="s">
        <v>753</v>
      </c>
    </row>
    <row r="50" spans="2:18">
      <c r="B50" s="92"/>
    </row>
    <row r="51" spans="2:18">
      <c r="B51" s="92"/>
      <c r="D51" s="3"/>
      <c r="G51" s="1"/>
      <c r="H51" s="99"/>
      <c r="I51" s="99"/>
      <c r="J51" s="6"/>
      <c r="K51" s="3"/>
    </row>
    <row r="52" spans="2:18">
      <c r="B52" s="92"/>
      <c r="D52" s="3"/>
      <c r="G52" s="1"/>
      <c r="H52" s="99"/>
      <c r="I52" s="99"/>
    </row>
    <row r="53" spans="2:18">
      <c r="B53" s="92"/>
      <c r="D53" s="3"/>
      <c r="G53" s="1"/>
      <c r="H53" s="99"/>
      <c r="I53" s="99"/>
    </row>
    <row r="54" spans="2:18">
      <c r="B54" s="92"/>
      <c r="D54" s="3"/>
      <c r="G54" s="1"/>
      <c r="H54" s="99"/>
      <c r="I54" s="99"/>
    </row>
    <row r="55" spans="2:18">
      <c r="B55" s="92"/>
      <c r="D55" s="3"/>
      <c r="G55" s="1"/>
      <c r="H55" s="99"/>
      <c r="I55" s="99"/>
      <c r="M55" s="3"/>
      <c r="N55" s="1"/>
      <c r="O55" s="1"/>
      <c r="P55" s="1"/>
      <c r="Q55" s="1"/>
      <c r="R55" s="1"/>
    </row>
    <row r="56" spans="2:18">
      <c r="B56" s="92"/>
      <c r="D56" s="3"/>
      <c r="G56" s="1"/>
      <c r="H56" s="99"/>
      <c r="I56" s="99"/>
      <c r="N56" s="1"/>
      <c r="O56" s="1"/>
      <c r="P56" s="1"/>
      <c r="Q56" s="1"/>
      <c r="R56" s="1"/>
    </row>
    <row r="57" spans="2:18">
      <c r="B57" s="92"/>
      <c r="D57" s="3"/>
      <c r="G57" s="1"/>
      <c r="H57" s="99"/>
      <c r="I57" s="99"/>
      <c r="L57" s="1"/>
      <c r="M57" s="3"/>
      <c r="N57" s="1"/>
      <c r="O57" s="1"/>
      <c r="P57" s="1"/>
      <c r="Q57" s="1"/>
      <c r="R57" s="1"/>
    </row>
    <row r="58" spans="2:18">
      <c r="B58" s="92"/>
      <c r="D58" s="3"/>
      <c r="G58" s="1"/>
      <c r="H58" s="99"/>
      <c r="I58" s="99"/>
      <c r="L58" s="1"/>
      <c r="M58" s="3"/>
      <c r="N58" s="1"/>
      <c r="O58" s="1"/>
      <c r="P58" s="1"/>
      <c r="Q58" s="1"/>
      <c r="R58" s="1"/>
    </row>
    <row r="59" spans="2:18">
      <c r="B59" s="92"/>
      <c r="D59" s="3"/>
      <c r="G59" s="1"/>
      <c r="H59" s="99"/>
      <c r="I59" s="99"/>
      <c r="J59" s="1"/>
      <c r="L59" s="1"/>
      <c r="M59" s="3"/>
      <c r="N59" s="1"/>
      <c r="O59" s="1"/>
      <c r="P59" s="1"/>
      <c r="Q59" s="1"/>
      <c r="R59" s="1"/>
    </row>
    <row r="60" spans="2:18">
      <c r="B60" s="92"/>
      <c r="D60" s="3"/>
      <c r="G60" s="1"/>
      <c r="H60" s="99"/>
      <c r="I60" s="99"/>
      <c r="J60" s="1"/>
      <c r="L60" s="1"/>
    </row>
    <row r="61" spans="2:18">
      <c r="B61" s="92"/>
      <c r="D61" s="3"/>
      <c r="G61" s="1"/>
      <c r="H61" s="99"/>
      <c r="I61" s="99"/>
      <c r="J61" s="2"/>
    </row>
    <row r="62" spans="2:18">
      <c r="B62" s="92"/>
      <c r="D62" s="3"/>
      <c r="G62" s="1"/>
      <c r="H62" s="99"/>
      <c r="I62" s="99"/>
    </row>
    <row r="63" spans="2:18">
      <c r="B63" s="92"/>
      <c r="D63" s="3"/>
      <c r="G63" s="1"/>
      <c r="H63" s="99"/>
      <c r="I63" s="99"/>
    </row>
    <row r="64" spans="2:18">
      <c r="B64" s="92"/>
      <c r="D64" s="3"/>
      <c r="G64" s="1"/>
      <c r="H64" s="99"/>
      <c r="I64" s="99"/>
    </row>
    <row r="65" spans="2:15">
      <c r="B65" s="92"/>
      <c r="D65" s="3"/>
      <c r="G65" s="1"/>
      <c r="H65" s="99"/>
      <c r="I65" s="99"/>
    </row>
    <row r="66" spans="2:15">
      <c r="B66" s="92"/>
      <c r="D66" s="3"/>
      <c r="G66" s="1"/>
      <c r="H66" s="99"/>
      <c r="I66" s="99"/>
    </row>
    <row r="67" spans="2:15">
      <c r="B67" s="92"/>
      <c r="D67" s="3"/>
      <c r="G67" s="1"/>
      <c r="H67" s="99"/>
      <c r="I67" s="99"/>
    </row>
    <row r="68" spans="2:15">
      <c r="B68" s="92"/>
    </row>
    <row r="69" spans="2:15">
      <c r="B69" s="92"/>
    </row>
    <row r="70" spans="2:15">
      <c r="B70" s="92"/>
    </row>
    <row r="71" spans="2:15">
      <c r="B71" s="92"/>
    </row>
    <row r="72" spans="2:15">
      <c r="B72" s="92"/>
      <c r="D72" s="6"/>
      <c r="K72" s="6"/>
      <c r="L72" s="6"/>
      <c r="M72" s="6"/>
      <c r="N72" s="6"/>
      <c r="O72" s="6"/>
    </row>
    <row r="73" spans="2:15">
      <c r="B73" s="92"/>
    </row>
  </sheetData>
  <phoneticPr fontId="2"/>
  <pageMargins left="0.6692913385826772" right="0.51181102362204722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2"/>
  <sheetViews>
    <sheetView workbookViewId="0"/>
    <sheetView workbookViewId="1"/>
  </sheetViews>
  <sheetFormatPr defaultColWidth="8.90625" defaultRowHeight="13"/>
  <cols>
    <col min="1" max="1" width="8.90625" style="98"/>
    <col min="2" max="2" width="7.90625" bestFit="1" customWidth="1"/>
    <col min="3" max="3" width="4.453125" bestFit="1" customWidth="1"/>
    <col min="4" max="4" width="16.453125" style="2" bestFit="1" customWidth="1"/>
    <col min="5" max="5" width="5.6328125" bestFit="1" customWidth="1"/>
    <col min="6" max="7" width="7.36328125" bestFit="1" customWidth="1"/>
    <col min="8" max="8" width="5" bestFit="1" customWidth="1"/>
    <col min="9" max="9" width="6.453125" hidden="1" customWidth="1"/>
    <col min="10" max="10" width="4.90625" hidden="1" customWidth="1"/>
    <col min="11" max="11" width="8.26953125" style="2" bestFit="1" customWidth="1"/>
  </cols>
  <sheetData>
    <row r="1" spans="1:20">
      <c r="A1" s="92" t="s">
        <v>124</v>
      </c>
      <c r="B1" t="s">
        <v>15</v>
      </c>
      <c r="F1" s="1"/>
      <c r="G1" s="1"/>
    </row>
    <row r="2" spans="1:20">
      <c r="B2" s="1" t="s">
        <v>41</v>
      </c>
      <c r="D2" s="2" t="s">
        <v>30</v>
      </c>
      <c r="E2" t="s">
        <v>42</v>
      </c>
      <c r="F2" s="1" t="s">
        <v>108</v>
      </c>
      <c r="G2" s="1" t="s">
        <v>109</v>
      </c>
      <c r="H2" t="s">
        <v>43</v>
      </c>
      <c r="I2" t="s">
        <v>44</v>
      </c>
      <c r="J2" t="s">
        <v>45</v>
      </c>
      <c r="K2" s="1" t="s">
        <v>110</v>
      </c>
      <c r="L2" s="1" t="s">
        <v>111</v>
      </c>
    </row>
    <row r="3" spans="1:20">
      <c r="B3" s="1">
        <v>1</v>
      </c>
      <c r="C3">
        <v>1</v>
      </c>
      <c r="D3" s="2" t="s">
        <v>411</v>
      </c>
      <c r="E3" s="3" t="s">
        <v>8</v>
      </c>
      <c r="F3" s="3" t="s">
        <v>353</v>
      </c>
      <c r="G3" s="3" t="s">
        <v>351</v>
      </c>
      <c r="H3" s="3">
        <v>3</v>
      </c>
      <c r="I3" s="3"/>
      <c r="J3" s="3"/>
      <c r="K3" s="2" t="s">
        <v>346</v>
      </c>
      <c r="L3" t="s">
        <v>347</v>
      </c>
    </row>
    <row r="4" spans="1:20">
      <c r="B4" s="1"/>
      <c r="C4">
        <v>2</v>
      </c>
      <c r="E4" s="3" t="s">
        <v>6</v>
      </c>
      <c r="F4" s="1" t="s">
        <v>349</v>
      </c>
      <c r="G4" s="1" t="s">
        <v>350</v>
      </c>
      <c r="H4" s="3">
        <v>3</v>
      </c>
      <c r="I4" s="3"/>
      <c r="J4" s="3"/>
    </row>
    <row r="5" spans="1:20">
      <c r="B5" s="1"/>
      <c r="C5">
        <v>3</v>
      </c>
      <c r="E5" s="3" t="s">
        <v>33</v>
      </c>
      <c r="F5" s="1" t="s">
        <v>404</v>
      </c>
      <c r="G5" s="1" t="s">
        <v>405</v>
      </c>
      <c r="H5" s="1">
        <v>2</v>
      </c>
    </row>
    <row r="6" spans="1:20">
      <c r="B6" s="1">
        <v>2</v>
      </c>
      <c r="C6">
        <v>4</v>
      </c>
      <c r="D6" s="2" t="s">
        <v>443</v>
      </c>
      <c r="E6" s="3" t="s">
        <v>8</v>
      </c>
      <c r="F6" s="3" t="s">
        <v>439</v>
      </c>
      <c r="G6" s="3" t="s">
        <v>440</v>
      </c>
      <c r="H6" s="3">
        <v>2</v>
      </c>
      <c r="I6" s="3"/>
      <c r="J6" s="3"/>
      <c r="K6" s="2" t="s">
        <v>190</v>
      </c>
      <c r="L6" t="s">
        <v>354</v>
      </c>
      <c r="M6" s="3"/>
      <c r="N6" s="3"/>
      <c r="O6" s="3"/>
      <c r="P6" s="3"/>
      <c r="Q6" s="3"/>
      <c r="R6" s="3"/>
      <c r="S6" s="3"/>
      <c r="T6" s="3"/>
    </row>
    <row r="7" spans="1:20">
      <c r="B7" s="1"/>
      <c r="C7">
        <v>5</v>
      </c>
      <c r="E7" s="3" t="s">
        <v>6</v>
      </c>
      <c r="F7" s="1" t="s">
        <v>441</v>
      </c>
      <c r="G7" s="1" t="s">
        <v>442</v>
      </c>
      <c r="H7" s="3">
        <v>2</v>
      </c>
      <c r="I7" s="3"/>
      <c r="J7" s="3"/>
      <c r="N7" s="3"/>
    </row>
    <row r="8" spans="1:20">
      <c r="B8" s="1"/>
      <c r="C8">
        <v>6</v>
      </c>
      <c r="E8" s="3" t="s">
        <v>33</v>
      </c>
      <c r="F8" s="1"/>
      <c r="G8" s="1"/>
      <c r="H8" s="1"/>
      <c r="N8" s="3"/>
    </row>
    <row r="9" spans="1:20">
      <c r="B9" s="1">
        <v>3</v>
      </c>
      <c r="C9">
        <v>7</v>
      </c>
      <c r="D9" s="2" t="s">
        <v>610</v>
      </c>
      <c r="E9" s="3" t="s">
        <v>8</v>
      </c>
      <c r="F9" s="3" t="s">
        <v>628</v>
      </c>
      <c r="G9" s="3" t="s">
        <v>629</v>
      </c>
      <c r="H9" s="3">
        <v>3</v>
      </c>
      <c r="I9" s="3"/>
      <c r="J9" s="3"/>
      <c r="K9" s="2" t="s">
        <v>190</v>
      </c>
      <c r="L9" t="s">
        <v>588</v>
      </c>
      <c r="M9" s="3"/>
      <c r="N9" s="3"/>
      <c r="O9" s="3"/>
      <c r="P9" s="3"/>
      <c r="Q9" s="3"/>
      <c r="R9" s="3"/>
      <c r="S9" s="3"/>
      <c r="T9" s="3"/>
    </row>
    <row r="10" spans="1:20">
      <c r="B10" s="1"/>
      <c r="C10">
        <v>8</v>
      </c>
      <c r="E10" s="3" t="s">
        <v>6</v>
      </c>
      <c r="F10" s="9" t="s">
        <v>630</v>
      </c>
      <c r="G10" s="9" t="s">
        <v>631</v>
      </c>
      <c r="H10" s="3">
        <v>2</v>
      </c>
      <c r="I10" s="3"/>
      <c r="J10" s="3"/>
      <c r="N10" s="3"/>
    </row>
    <row r="11" spans="1:20">
      <c r="B11" s="1"/>
      <c r="C11">
        <v>9</v>
      </c>
      <c r="E11" s="3" t="s">
        <v>33</v>
      </c>
      <c r="F11" s="1" t="s">
        <v>632</v>
      </c>
      <c r="G11" s="1" t="s">
        <v>633</v>
      </c>
      <c r="H11" s="1">
        <v>2</v>
      </c>
      <c r="I11" s="1"/>
      <c r="J11" s="1"/>
      <c r="N11" s="3"/>
      <c r="O11" s="1"/>
      <c r="P11" s="1"/>
      <c r="Q11" s="1"/>
      <c r="R11" s="1"/>
      <c r="S11" s="1"/>
    </row>
    <row r="12" spans="1:20">
      <c r="B12" s="1">
        <v>4</v>
      </c>
      <c r="C12">
        <v>10</v>
      </c>
      <c r="D12" s="2" t="s">
        <v>611</v>
      </c>
      <c r="E12" s="3" t="s">
        <v>8</v>
      </c>
      <c r="F12" s="1" t="s">
        <v>634</v>
      </c>
      <c r="G12" s="1" t="s">
        <v>635</v>
      </c>
      <c r="H12" s="1">
        <v>2</v>
      </c>
      <c r="K12" s="2" t="s">
        <v>638</v>
      </c>
      <c r="L12" t="s">
        <v>639</v>
      </c>
      <c r="N12" s="3"/>
      <c r="O12" s="3"/>
      <c r="P12" s="3"/>
      <c r="Q12" s="3"/>
      <c r="R12" s="3"/>
      <c r="S12" s="3"/>
      <c r="T12" s="3"/>
    </row>
    <row r="13" spans="1:20">
      <c r="B13" s="1"/>
      <c r="C13">
        <v>11</v>
      </c>
      <c r="E13" s="3" t="s">
        <v>6</v>
      </c>
      <c r="F13" s="1" t="s">
        <v>636</v>
      </c>
      <c r="G13" s="1" t="s">
        <v>637</v>
      </c>
      <c r="H13" s="1">
        <v>2</v>
      </c>
      <c r="N13" s="3"/>
      <c r="O13" s="3"/>
      <c r="P13" s="3"/>
      <c r="Q13" s="3"/>
      <c r="R13" s="3"/>
      <c r="S13" s="3"/>
    </row>
    <row r="14" spans="1:20">
      <c r="B14" s="1"/>
      <c r="C14">
        <v>12</v>
      </c>
      <c r="E14" s="3" t="s">
        <v>33</v>
      </c>
      <c r="F14" s="1"/>
      <c r="G14" s="1"/>
      <c r="H14" s="1"/>
      <c r="N14" s="3"/>
      <c r="O14" s="1"/>
      <c r="P14" s="1"/>
      <c r="Q14" s="1"/>
      <c r="R14" s="1"/>
      <c r="S14" s="1"/>
    </row>
    <row r="15" spans="1:20">
      <c r="B15" s="1">
        <v>5</v>
      </c>
      <c r="C15">
        <v>13</v>
      </c>
      <c r="D15" s="2" t="s">
        <v>722</v>
      </c>
      <c r="E15" s="3" t="s">
        <v>8</v>
      </c>
      <c r="F15" s="1" t="s">
        <v>774</v>
      </c>
      <c r="G15" s="1" t="s">
        <v>775</v>
      </c>
      <c r="H15" s="3">
        <v>2</v>
      </c>
      <c r="I15" s="3"/>
      <c r="J15" s="3"/>
      <c r="K15" s="2" t="s">
        <v>763</v>
      </c>
      <c r="L15" t="s">
        <v>764</v>
      </c>
      <c r="O15" s="3"/>
      <c r="P15" s="3"/>
      <c r="Q15" s="3"/>
      <c r="R15" s="3"/>
      <c r="S15" s="3"/>
      <c r="T15" s="3"/>
    </row>
    <row r="16" spans="1:20">
      <c r="B16" s="1"/>
      <c r="C16">
        <v>14</v>
      </c>
      <c r="E16" s="3" t="s">
        <v>6</v>
      </c>
      <c r="F16" s="1" t="s">
        <v>776</v>
      </c>
      <c r="G16" s="1" t="s">
        <v>777</v>
      </c>
      <c r="H16" s="3">
        <v>3</v>
      </c>
      <c r="I16" s="3"/>
      <c r="J16" s="3"/>
      <c r="O16" s="3"/>
      <c r="P16" s="3"/>
      <c r="Q16" s="3"/>
      <c r="R16" s="3"/>
      <c r="S16" s="3"/>
    </row>
    <row r="17" spans="2:20">
      <c r="B17" s="1"/>
      <c r="C17">
        <v>15</v>
      </c>
      <c r="E17" s="3" t="s">
        <v>33</v>
      </c>
      <c r="F17" s="1" t="s">
        <v>759</v>
      </c>
      <c r="G17" s="1" t="s">
        <v>760</v>
      </c>
      <c r="H17" s="1">
        <v>2</v>
      </c>
      <c r="I17" s="1"/>
      <c r="J17" s="1"/>
      <c r="O17" s="1"/>
      <c r="P17" s="1"/>
      <c r="Q17" s="1"/>
      <c r="R17" s="1"/>
      <c r="S17" s="1"/>
    </row>
    <row r="18" spans="2:20">
      <c r="B18" s="1">
        <v>6</v>
      </c>
      <c r="C18">
        <v>16</v>
      </c>
      <c r="D18" s="2" t="s">
        <v>725</v>
      </c>
      <c r="E18" s="3" t="s">
        <v>8</v>
      </c>
      <c r="F18" s="3" t="s">
        <v>778</v>
      </c>
      <c r="G18" s="3" t="s">
        <v>779</v>
      </c>
      <c r="H18" s="3">
        <v>2</v>
      </c>
      <c r="I18" s="3"/>
      <c r="J18" s="3"/>
      <c r="K18" s="158" t="s">
        <v>763</v>
      </c>
      <c r="L18" s="158" t="s">
        <v>764</v>
      </c>
      <c r="M18" s="3"/>
      <c r="T18" s="3"/>
    </row>
    <row r="19" spans="2:20">
      <c r="B19" s="1"/>
      <c r="C19">
        <v>17</v>
      </c>
      <c r="E19" s="3" t="s">
        <v>6</v>
      </c>
      <c r="F19" s="3" t="s">
        <v>780</v>
      </c>
      <c r="G19" s="3" t="s">
        <v>781</v>
      </c>
      <c r="H19" s="3">
        <v>2</v>
      </c>
      <c r="I19" s="3"/>
      <c r="J19" s="3"/>
    </row>
    <row r="20" spans="2:20">
      <c r="B20" s="1"/>
      <c r="C20">
        <v>18</v>
      </c>
      <c r="E20" s="3" t="s">
        <v>33</v>
      </c>
      <c r="F20" s="1" t="s">
        <v>766</v>
      </c>
      <c r="G20" s="1" t="s">
        <v>767</v>
      </c>
      <c r="H20" s="1">
        <v>3</v>
      </c>
      <c r="I20" s="1"/>
      <c r="J20" s="1"/>
      <c r="O20" s="1"/>
      <c r="P20" s="1"/>
      <c r="Q20" s="1"/>
      <c r="R20" s="1"/>
      <c r="S20" s="1"/>
    </row>
    <row r="21" spans="2:20">
      <c r="B21" s="1">
        <v>7</v>
      </c>
      <c r="C21">
        <v>19</v>
      </c>
      <c r="D21" s="2" t="s">
        <v>709</v>
      </c>
      <c r="E21" s="3" t="s">
        <v>8</v>
      </c>
      <c r="F21" s="1" t="s">
        <v>782</v>
      </c>
      <c r="G21" s="1" t="s">
        <v>783</v>
      </c>
      <c r="H21" s="1">
        <v>2</v>
      </c>
      <c r="I21" s="1"/>
      <c r="J21" s="1"/>
      <c r="K21" s="158" t="s">
        <v>763</v>
      </c>
      <c r="L21" s="158" t="s">
        <v>764</v>
      </c>
    </row>
    <row r="22" spans="2:20">
      <c r="B22" s="1"/>
      <c r="C22">
        <v>20</v>
      </c>
      <c r="E22" s="3" t="s">
        <v>6</v>
      </c>
      <c r="F22" s="3" t="s">
        <v>784</v>
      </c>
      <c r="G22" s="3" t="s">
        <v>785</v>
      </c>
      <c r="H22" s="3">
        <v>2</v>
      </c>
      <c r="I22" s="3"/>
      <c r="J22" s="3"/>
    </row>
    <row r="23" spans="2:20">
      <c r="B23" s="1"/>
      <c r="C23">
        <v>21</v>
      </c>
      <c r="E23" s="3" t="s">
        <v>33</v>
      </c>
      <c r="F23" s="1" t="s">
        <v>770</v>
      </c>
      <c r="G23" s="1" t="s">
        <v>771</v>
      </c>
      <c r="H23" s="1">
        <v>3</v>
      </c>
      <c r="I23" s="1"/>
      <c r="J23" s="1"/>
    </row>
    <row r="24" spans="2:20">
      <c r="B24" s="1">
        <v>8</v>
      </c>
      <c r="C24">
        <v>22</v>
      </c>
      <c r="E24" s="3" t="s">
        <v>8</v>
      </c>
      <c r="F24" s="3"/>
      <c r="G24" s="3"/>
      <c r="H24" s="1"/>
      <c r="I24" s="3"/>
      <c r="J24" s="3"/>
      <c r="K24" s="90"/>
    </row>
    <row r="25" spans="2:20">
      <c r="B25" s="1"/>
      <c r="C25">
        <v>23</v>
      </c>
      <c r="E25" s="3" t="s">
        <v>6</v>
      </c>
      <c r="F25" s="1"/>
      <c r="G25" s="1"/>
      <c r="H25" s="1"/>
      <c r="I25" s="1"/>
      <c r="J25" s="1"/>
    </row>
    <row r="26" spans="2:20">
      <c r="B26" s="1"/>
      <c r="C26">
        <v>24</v>
      </c>
      <c r="E26" s="3" t="s">
        <v>33</v>
      </c>
      <c r="F26" s="1"/>
      <c r="G26" s="1"/>
      <c r="H26" s="1"/>
      <c r="I26" s="1"/>
      <c r="J26" s="1"/>
    </row>
    <row r="27" spans="2:20">
      <c r="B27" s="1">
        <v>9</v>
      </c>
      <c r="C27">
        <v>25</v>
      </c>
      <c r="E27" s="3" t="s">
        <v>8</v>
      </c>
      <c r="F27" s="9"/>
      <c r="G27" s="9"/>
      <c r="H27" s="1"/>
      <c r="I27" s="3"/>
      <c r="J27" s="3"/>
      <c r="K27" s="90"/>
    </row>
    <row r="28" spans="2:20">
      <c r="B28" s="1"/>
      <c r="C28">
        <v>26</v>
      </c>
      <c r="E28" s="3" t="s">
        <v>6</v>
      </c>
      <c r="F28" s="9"/>
      <c r="G28" s="9"/>
      <c r="H28" s="1"/>
      <c r="I28" s="1"/>
      <c r="J28" s="1"/>
    </row>
    <row r="29" spans="2:20">
      <c r="B29" s="1"/>
      <c r="C29">
        <v>27</v>
      </c>
      <c r="E29" s="3" t="s">
        <v>33</v>
      </c>
      <c r="F29" s="3"/>
      <c r="G29" s="3"/>
      <c r="H29" s="1"/>
      <c r="I29" s="1"/>
      <c r="J29" s="1"/>
    </row>
    <row r="30" spans="2:20">
      <c r="B30" s="1">
        <v>10</v>
      </c>
      <c r="C30">
        <v>28</v>
      </c>
      <c r="E30" s="3" t="s">
        <v>8</v>
      </c>
      <c r="F30" s="3"/>
      <c r="G30" s="3"/>
      <c r="H30" s="1"/>
      <c r="I30" s="3"/>
      <c r="J30" s="3"/>
      <c r="K30" s="90"/>
    </row>
    <row r="31" spans="2:20">
      <c r="B31" s="1"/>
      <c r="C31">
        <v>29</v>
      </c>
      <c r="E31" s="3" t="s">
        <v>6</v>
      </c>
      <c r="F31" s="3"/>
      <c r="G31" s="3"/>
      <c r="H31" s="1"/>
      <c r="I31" s="1"/>
      <c r="J31" s="1"/>
    </row>
    <row r="32" spans="2:20">
      <c r="B32" s="1"/>
      <c r="C32">
        <v>30</v>
      </c>
      <c r="E32" s="3" t="s">
        <v>33</v>
      </c>
      <c r="F32" s="1"/>
      <c r="G32" s="1"/>
      <c r="H32" s="1"/>
      <c r="I32" s="1"/>
      <c r="J32" s="1"/>
    </row>
    <row r="33" spans="2:14">
      <c r="B33" s="1">
        <v>11</v>
      </c>
      <c r="C33">
        <v>31</v>
      </c>
      <c r="E33" s="3" t="s">
        <v>31</v>
      </c>
      <c r="F33" s="9"/>
      <c r="G33" s="9"/>
      <c r="H33" s="1"/>
      <c r="I33" s="3"/>
      <c r="J33" s="3"/>
      <c r="K33" s="90"/>
    </row>
    <row r="34" spans="2:14">
      <c r="B34" s="1"/>
      <c r="C34">
        <v>32</v>
      </c>
      <c r="E34" s="3" t="s">
        <v>34</v>
      </c>
      <c r="F34" s="9"/>
      <c r="G34" s="9"/>
      <c r="H34" s="1"/>
      <c r="I34" s="1"/>
      <c r="J34" s="1"/>
    </row>
    <row r="35" spans="2:14">
      <c r="B35" s="1"/>
      <c r="C35">
        <v>33</v>
      </c>
      <c r="E35" s="3" t="s">
        <v>33</v>
      </c>
      <c r="F35" s="3"/>
      <c r="G35" s="3"/>
      <c r="H35" s="1"/>
      <c r="I35" s="1"/>
      <c r="J35" s="1"/>
    </row>
    <row r="36" spans="2:14">
      <c r="B36" s="1">
        <v>12</v>
      </c>
      <c r="C36">
        <v>34</v>
      </c>
      <c r="E36" s="3" t="s">
        <v>31</v>
      </c>
      <c r="F36" s="9"/>
      <c r="G36" s="9"/>
      <c r="H36" s="1"/>
      <c r="I36" s="1"/>
      <c r="J36" s="1"/>
      <c r="K36" s="90"/>
    </row>
    <row r="37" spans="2:14">
      <c r="B37" s="1"/>
      <c r="C37">
        <v>35</v>
      </c>
      <c r="E37" s="3" t="s">
        <v>34</v>
      </c>
      <c r="F37" s="3"/>
      <c r="G37" s="3"/>
      <c r="H37" s="3"/>
      <c r="I37" s="1"/>
      <c r="J37" s="1"/>
    </row>
    <row r="38" spans="2:14">
      <c r="B38" s="1"/>
      <c r="C38">
        <v>36</v>
      </c>
      <c r="E38" s="3" t="s">
        <v>33</v>
      </c>
      <c r="F38" s="1"/>
      <c r="G38" s="1"/>
      <c r="H38" s="1"/>
    </row>
    <row r="39" spans="2:14">
      <c r="B39" s="1">
        <v>13</v>
      </c>
      <c r="C39">
        <v>37</v>
      </c>
      <c r="E39" s="3" t="s">
        <v>31</v>
      </c>
      <c r="F39" s="3"/>
      <c r="G39" s="3"/>
      <c r="H39" s="3"/>
      <c r="I39" s="3"/>
      <c r="J39" s="3"/>
      <c r="K39" s="90"/>
    </row>
    <row r="40" spans="2:14">
      <c r="B40" s="1"/>
      <c r="C40">
        <v>38</v>
      </c>
      <c r="E40" s="3" t="s">
        <v>34</v>
      </c>
      <c r="F40" s="3"/>
      <c r="G40" s="3"/>
      <c r="H40" s="3"/>
      <c r="I40" s="3"/>
      <c r="J40" s="3"/>
    </row>
    <row r="41" spans="2:14">
      <c r="B41" s="1"/>
      <c r="C41">
        <v>39</v>
      </c>
      <c r="E41" s="3" t="s">
        <v>33</v>
      </c>
      <c r="F41" s="1"/>
      <c r="G41" s="1"/>
      <c r="H41" s="1"/>
      <c r="I41" s="1"/>
      <c r="J41" s="1"/>
    </row>
    <row r="42" spans="2:14">
      <c r="B42" s="1">
        <v>14</v>
      </c>
      <c r="C42">
        <v>40</v>
      </c>
      <c r="E42" s="3" t="s">
        <v>31</v>
      </c>
      <c r="F42" s="3"/>
      <c r="G42" s="3"/>
      <c r="H42" s="3"/>
      <c r="I42" s="3"/>
      <c r="J42" s="3"/>
      <c r="K42" s="90"/>
    </row>
    <row r="43" spans="2:14">
      <c r="B43" s="1"/>
      <c r="C43">
        <v>41</v>
      </c>
      <c r="E43" s="3" t="s">
        <v>34</v>
      </c>
      <c r="F43" s="3"/>
      <c r="G43" s="3"/>
      <c r="H43" s="3"/>
      <c r="I43" s="3"/>
      <c r="J43" s="3"/>
      <c r="L43" s="6"/>
      <c r="M43" s="6"/>
      <c r="N43" s="6"/>
    </row>
    <row r="44" spans="2:14">
      <c r="B44" s="1"/>
      <c r="C44">
        <v>42</v>
      </c>
      <c r="E44" s="3" t="s">
        <v>33</v>
      </c>
      <c r="F44" s="1"/>
      <c r="G44" s="1"/>
      <c r="H44" s="1"/>
      <c r="I44" s="1"/>
      <c r="J44" s="1"/>
      <c r="L44" s="8"/>
      <c r="M44" s="8"/>
      <c r="N44" s="8"/>
    </row>
    <row r="45" spans="2:14">
      <c r="B45" s="3">
        <v>15</v>
      </c>
      <c r="C45">
        <v>43</v>
      </c>
      <c r="E45" s="3" t="s">
        <v>31</v>
      </c>
      <c r="F45" s="1"/>
      <c r="G45" s="1"/>
      <c r="H45" s="3"/>
      <c r="I45" s="3"/>
      <c r="J45" s="3"/>
      <c r="K45" s="90"/>
      <c r="L45" s="8"/>
      <c r="M45" s="8"/>
      <c r="N45" s="8"/>
    </row>
    <row r="46" spans="2:14">
      <c r="B46" s="1"/>
      <c r="C46">
        <v>44</v>
      </c>
      <c r="E46" s="3" t="s">
        <v>34</v>
      </c>
      <c r="F46" s="9"/>
      <c r="G46" s="9"/>
      <c r="H46" s="3"/>
      <c r="I46" s="3"/>
      <c r="J46" s="3"/>
    </row>
    <row r="47" spans="2:14">
      <c r="B47" s="1"/>
      <c r="C47">
        <v>45</v>
      </c>
      <c r="E47" s="3" t="s">
        <v>33</v>
      </c>
    </row>
    <row r="48" spans="2:14">
      <c r="B48" s="1">
        <v>16</v>
      </c>
      <c r="C48">
        <v>46</v>
      </c>
      <c r="E48" s="3" t="s">
        <v>31</v>
      </c>
      <c r="F48" s="3"/>
      <c r="G48" s="3"/>
      <c r="H48" s="1"/>
      <c r="I48" s="1"/>
      <c r="J48" s="1"/>
      <c r="K48" s="90"/>
    </row>
    <row r="49" spans="2:11">
      <c r="B49" s="1"/>
      <c r="C49">
        <v>47</v>
      </c>
      <c r="E49" s="3" t="s">
        <v>34</v>
      </c>
      <c r="F49" s="3"/>
      <c r="G49" s="3"/>
      <c r="H49" s="1"/>
      <c r="I49" s="1"/>
      <c r="J49" s="1"/>
    </row>
    <row r="50" spans="2:11">
      <c r="B50" s="1"/>
      <c r="C50">
        <v>48</v>
      </c>
      <c r="E50" s="3" t="s">
        <v>33</v>
      </c>
      <c r="H50" s="1"/>
      <c r="I50" s="1"/>
      <c r="J50" s="1"/>
    </row>
    <row r="51" spans="2:11">
      <c r="B51" s="1">
        <v>17</v>
      </c>
      <c r="C51">
        <v>49</v>
      </c>
      <c r="D51" s="90"/>
      <c r="E51" s="3" t="s">
        <v>31</v>
      </c>
      <c r="F51" s="9"/>
      <c r="G51" s="9"/>
      <c r="H51" s="3"/>
      <c r="I51" s="3"/>
      <c r="J51" s="3"/>
      <c r="K51" s="90"/>
    </row>
    <row r="52" spans="2:11">
      <c r="C52">
        <v>50</v>
      </c>
      <c r="E52" s="3" t="s">
        <v>34</v>
      </c>
      <c r="F52" s="3"/>
      <c r="G52" s="3"/>
      <c r="H52" s="3"/>
      <c r="I52" s="3"/>
      <c r="J52" s="3"/>
    </row>
    <row r="53" spans="2:11">
      <c r="C53">
        <v>51</v>
      </c>
      <c r="E53" s="3" t="s">
        <v>33</v>
      </c>
      <c r="F53" s="1"/>
      <c r="G53" s="1"/>
      <c r="H53" s="1"/>
      <c r="I53" s="1"/>
      <c r="J53" s="1"/>
    </row>
    <row r="54" spans="2:11">
      <c r="B54" s="1">
        <v>18</v>
      </c>
      <c r="C54">
        <v>52</v>
      </c>
      <c r="E54" s="3" t="s">
        <v>31</v>
      </c>
      <c r="F54" s="3"/>
      <c r="G54" s="3"/>
      <c r="H54" s="3"/>
      <c r="I54" s="3"/>
      <c r="J54" s="3"/>
      <c r="K54" s="90"/>
    </row>
    <row r="55" spans="2:11">
      <c r="C55">
        <v>53</v>
      </c>
      <c r="E55" s="3" t="s">
        <v>34</v>
      </c>
      <c r="F55" s="3"/>
      <c r="G55" s="3"/>
      <c r="H55" s="3"/>
      <c r="I55" s="3"/>
      <c r="J55" s="3"/>
    </row>
    <row r="56" spans="2:11">
      <c r="C56">
        <v>54</v>
      </c>
      <c r="E56" s="3" t="s">
        <v>33</v>
      </c>
      <c r="F56" s="1"/>
      <c r="G56" s="1"/>
      <c r="H56" s="1"/>
      <c r="I56" s="1"/>
      <c r="J56" s="1"/>
    </row>
    <row r="57" spans="2:11">
      <c r="D57" s="90"/>
      <c r="E57" s="3" t="s">
        <v>31</v>
      </c>
      <c r="F57" s="1"/>
      <c r="G57" s="1"/>
      <c r="H57" s="1"/>
      <c r="I57" s="1"/>
      <c r="J57" s="1"/>
      <c r="K57" s="90"/>
    </row>
    <row r="58" spans="2:11">
      <c r="E58" s="3" t="s">
        <v>34</v>
      </c>
      <c r="H58" s="3"/>
      <c r="I58" s="3"/>
      <c r="J58" s="3"/>
    </row>
    <row r="59" spans="2:11">
      <c r="E59" s="3" t="s">
        <v>33</v>
      </c>
      <c r="F59" s="1"/>
      <c r="G59" s="1"/>
      <c r="H59" s="1"/>
      <c r="I59" s="1"/>
      <c r="J59" s="1"/>
    </row>
    <row r="60" spans="2:11">
      <c r="D60" s="90"/>
      <c r="E60" s="3" t="s">
        <v>31</v>
      </c>
      <c r="F60" s="3"/>
      <c r="G60" s="3"/>
      <c r="H60" s="1"/>
      <c r="I60" s="3"/>
      <c r="J60" s="3"/>
      <c r="K60" s="90"/>
    </row>
    <row r="61" spans="2:11">
      <c r="E61" s="3" t="s">
        <v>34</v>
      </c>
      <c r="F61" s="1"/>
      <c r="G61" s="1"/>
      <c r="H61" s="1"/>
      <c r="I61" s="1"/>
      <c r="J61" s="1"/>
    </row>
    <row r="62" spans="2:11">
      <c r="E62" s="3" t="s">
        <v>33</v>
      </c>
      <c r="F62" s="1"/>
      <c r="G62" s="1"/>
      <c r="H62" s="1"/>
      <c r="I62" s="1"/>
      <c r="J62" s="1"/>
    </row>
  </sheetData>
  <phoneticPr fontId="2"/>
  <pageMargins left="0.75" right="0.75" top="1" bottom="1" header="0.51200000000000001" footer="0.51200000000000001"/>
  <pageSetup paperSize="9" scale="10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ﾌﾟﾛｸﾞﾗﾑ表紙</vt:lpstr>
      <vt:lpstr>競漕日程</vt:lpstr>
      <vt:lpstr>出漕クルー一覧</vt:lpstr>
      <vt:lpstr>審判長注意</vt:lpstr>
      <vt:lpstr>組合せ</vt:lpstr>
      <vt:lpstr>選手名簿</vt:lpstr>
      <vt:lpstr>１×Ｗ</vt:lpstr>
      <vt:lpstr>１×Ｍ</vt:lpstr>
      <vt:lpstr>２×Ｗ</vt:lpstr>
      <vt:lpstr>2×M</vt:lpstr>
      <vt:lpstr>4×+W</vt:lpstr>
      <vt:lpstr>4×+M</vt:lpstr>
      <vt:lpstr>練習時航行ルール</vt:lpstr>
      <vt:lpstr>試合時航行ルール</vt:lpstr>
      <vt:lpstr>変更届</vt:lpstr>
      <vt:lpstr>'１×Ｍ'!Print_Area</vt:lpstr>
      <vt:lpstr>'１×Ｗ'!Print_Area</vt:lpstr>
      <vt:lpstr>'2×M'!Print_Area</vt:lpstr>
      <vt:lpstr>'２×Ｗ'!Print_Area</vt:lpstr>
      <vt:lpstr>'4×+M'!Print_Area</vt:lpstr>
      <vt:lpstr>'4×+W'!Print_Area</vt:lpstr>
      <vt:lpstr>競漕日程!Print_Area</vt:lpstr>
      <vt:lpstr>組合せ!Print_Area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河口義治</dc:creator>
  <cp:lastModifiedBy>萩原康治</cp:lastModifiedBy>
  <cp:lastPrinted>2022-03-27T02:12:09Z</cp:lastPrinted>
  <dcterms:created xsi:type="dcterms:W3CDTF">2000-04-13T13:11:43Z</dcterms:created>
  <dcterms:modified xsi:type="dcterms:W3CDTF">2022-04-01T06:57:34Z</dcterms:modified>
</cp:coreProperties>
</file>